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å gör du" state="visible" r:id="rId4"/>
    <sheet sheetId="2" name="Gäster" state="visible" r:id="rId5"/>
    <sheet sheetId="3" name="Bord" state="visible" r:id="rId6"/>
    <sheet sheetId="4" name="Bordskarta" state="visible" r:id="rId7"/>
    <sheet sheetId="5" name="Specialkost" state="visible" r:id="rId8"/>
  </sheets>
  <definedNames>
    <definedName name="_xlnm.Print_Area" localSheetId="1">'Gäster'!$A$1:INDEX('Gäster'!$P$1:$P$301,MAX(2,SUMPRODUCT(MAX(('Gäster'!$A$1:$A$301&lt;&gt;"")*ROW('Gäster'!$A$1:$A$301))),SUMPRODUCT(MAX(('Gäster'!$B$1:$B$301&lt;&gt;"")*ROW('Gäster'!$B$1:$B$301)))))</definedName>
    <definedName name="_xlnm.Print_Titles" localSheetId="1">'Gäster'!$1:$1</definedName>
    <definedName name="_xlnm.Print_Titles" localSheetId="2">'Bord'!$1:$1</definedName>
    <definedName name="_xlnm.Print_Titles" localSheetId="4">'Specialkost'!$1:$1</definedName>
  </definedNames>
  <calcPr calcId="171027" fullCalcOnLoad="1"/>
</workbook>
</file>

<file path=xl/comments2.xml><?xml version="1.0" encoding="utf-8"?>
<comments xmlns="http://schemas.openxmlformats.org/spreadsheetml/2006/main">
  <authors>
    <author>Author</author>
  </authors>
  <commentList>
    <comment ref="A2" authorId="0">
      <text>
        <r>
          <t>Exempel – skriv över</t>
        </r>
      </text>
    </comment>
  </commentList>
</comments>
</file>

<file path=xl/sharedStrings.xml><?xml version="1.0" encoding="utf-8"?>
<sst xmlns="http://schemas.openxmlformats.org/spreadsheetml/2006/main" count="166" uniqueCount="100">
  <si>
    <t>Bordsplacering</t>
  </si>
  <si>
    <t>Den här mallen hjälper dig att placera gästerna till middagen, oavsett om det är julbord, 50-årsfest, bröllop eller kräftskiva. Den är gratis och din att ändra i.</t>
  </si>
  <si>
    <t>Så gör du</t>
  </si>
  <si>
    <t>1.</t>
  </si>
  <si>
    <r>
      <rPr>
        <b/>
        <color rgb="FF251E18"/>
        <sz val="11"/>
        <rFont val="Calibri"/>
      </rPr>
      <t xml:space="preserve">Skriv in gästerna. </t>
    </r>
    <r>
      <rPr>
        <color rgb="FF251E18"/>
        <sz val="11"/>
        <rFont val="Calibri"/>
      </rPr>
      <t>Fliken Gäster har en rad per gäst. De grå raderna överst är exempel. Skriv över dem eller ta bort dem.</t>
    </r>
  </si>
  <si>
    <t>2.</t>
  </si>
  <si>
    <r>
      <rPr>
        <b/>
        <color rgb="FF251E18"/>
        <sz val="11"/>
        <rFont val="Calibri"/>
      </rPr>
      <t xml:space="preserve">Bestäm borden. </t>
    </r>
    <r>
      <rPr>
        <color rgb="FF251E18"/>
        <sz val="11"/>
        <rFont val="Calibri"/>
      </rPr>
      <t>Fliken Bord har redan tio runda bord med åtta platser. Ändra form och antal platser så att det stämmer med lokalen.</t>
    </r>
  </si>
  <si>
    <t>3.</t>
  </si>
  <si>
    <r>
      <rPr>
        <b/>
        <color rgb="FF251E18"/>
        <sz val="11"/>
        <rFont val="Calibri"/>
      </rPr>
      <t xml:space="preserve">Placera gästerna. </t>
    </r>
    <r>
      <rPr>
        <color rgb="FF251E18"/>
        <sz val="11"/>
        <rFont val="Calibri"/>
      </rPr>
      <t>Skriv bordets nummer i kolumnen Bord och platsens nummer i kolumnen Plats. Kolumnen Kontroll säger till om två gäster har hamnat på samma plats.</t>
    </r>
  </si>
  <si>
    <t>4.</t>
  </si>
  <si>
    <r>
      <rPr>
        <b/>
        <color rgb="FF251E18"/>
        <sz val="11"/>
        <rFont val="Calibri"/>
      </rPr>
      <t xml:space="preserve">Se hur det blev. </t>
    </r>
    <r>
      <rPr>
        <color rgb="FF251E18"/>
        <sz val="11"/>
        <rFont val="Calibri"/>
      </rPr>
      <t>Fliken Bord visar hur många som sitter vid varje bord och hur många platser som är kvar. Fliken Bordskarta visar vem som sitter var.</t>
    </r>
  </si>
  <si>
    <t>5.</t>
  </si>
  <si>
    <r>
      <rPr>
        <b/>
        <color rgb="FF251E18"/>
        <sz val="11"/>
        <rFont val="Calibri"/>
      </rPr>
      <t xml:space="preserve">Skriv ut. </t>
    </r>
    <r>
      <rPr>
        <color rgb="FF251E18"/>
        <sz val="11"/>
        <rFont val="Calibri"/>
      </rPr>
      <t>Bordskartan skrivs ut med ett bord per sida. Fliken Specialkost kan du skicka direkt till köket.</t>
    </r>
  </si>
  <si>
    <t>Var sitter jag? Markera gästlistan, sortera på Efternamn (i Excel: Data och sedan Sortera) och skriv ut kolumnerna Förnamn, Efternamn och Bord. Sätt listan vid entrén.</t>
  </si>
  <si>
    <t>Reglerna i korthet</t>
  </si>
  <si>
    <t>·</t>
  </si>
  <si>
    <r>
      <rPr>
        <b/>
        <color rgb="FF251E18"/>
        <sz val="11"/>
        <rFont val="Calibri"/>
      </rPr>
      <t xml:space="preserve">Varannan dam och herre. </t>
    </r>
    <r>
      <rPr>
        <color rgb="FF251E18"/>
        <sz val="11"/>
        <rFont val="Calibri"/>
      </rPr>
      <t>Det klassiska är att damer och herrar sitter varannan runt bordet. Går det inte jämnt ut gör det ingenting.</t>
    </r>
  </si>
  <si>
    <r>
      <rPr>
        <b/>
        <color rgb="FF251E18"/>
        <sz val="11"/>
        <rFont val="Calibri"/>
      </rPr>
      <t xml:space="preserve">Dela på par. </t>
    </r>
    <r>
      <rPr>
        <color rgb="FF251E18"/>
        <sz val="11"/>
        <rFont val="Calibri"/>
      </rPr>
      <t>Par sitter traditionellt inte bredvid varandra, så att alla får nya att prata med. Den som känner få kan gärna sitta nära någon den känner.</t>
    </r>
  </si>
  <si>
    <r>
      <rPr>
        <b/>
        <color rgb="FF251E18"/>
        <sz val="11"/>
        <rFont val="Calibri"/>
      </rPr>
      <t xml:space="preserve">Bordsdam. </t>
    </r>
    <r>
      <rPr>
        <color rgb="FF251E18"/>
        <sz val="11"/>
        <rFont val="Calibri"/>
      </rPr>
      <t>Traditionen säger att herrens bordsdam sitter till höger om honom.</t>
    </r>
  </si>
  <si>
    <r>
      <rPr>
        <b/>
        <color rgb="FF251E18"/>
        <sz val="11"/>
        <rFont val="Calibri"/>
      </rPr>
      <t xml:space="preserve">Hedersgästen. </t>
    </r>
    <r>
      <rPr>
        <color rgb="FF251E18"/>
        <sz val="11"/>
        <rFont val="Calibri"/>
      </rPr>
      <t>Hedersgästen får en plats nära värden eller värdinnan.</t>
    </r>
  </si>
  <si>
    <r>
      <rPr>
        <b/>
        <color rgb="FF251E18"/>
        <sz val="11"/>
        <rFont val="Calibri"/>
      </rPr>
      <t xml:space="preserve">Blanda med omtanke. </t>
    </r>
    <r>
      <rPr>
        <color rgb="FF251E18"/>
        <sz val="11"/>
        <rFont val="Calibri"/>
      </rPr>
      <t>Sätt gärna den blyga bredvid någon som är lätt att prata med, och håll isär dem som inte drar jämnt. Kolumnerna Vill sitta nära och Inte bredvid är till för det.</t>
    </r>
  </si>
  <si>
    <t>Reglerna är en hjälp, inte ett krav. Det viktigaste är att alla trivs.</t>
  </si>
  <si>
    <t>Snart kan du dra in den här filen på bordsplaceringen.se, så fyller verktyget i Bord och Plats åt dig. Fram till dess klarar sig mallen helt på egen hand.</t>
  </si>
  <si>
    <t>bordsplaceringen.se</t>
  </si>
  <si>
    <t>Fliken Bordskarta visar bord 1–10 med upp till 12 platser. Har du fler bord eller större bord räknas de ändå i fliken Bord.</t>
  </si>
  <si>
    <t>Mallen kommer från bordsplaceringen.se. Den är gratis att använda och dela.</t>
  </si>
  <si>
    <t>Förnamn</t>
  </si>
  <si>
    <t>Efternamn</t>
  </si>
  <si>
    <t>Dam/Herre</t>
  </si>
  <si>
    <t>Sällskap</t>
  </si>
  <si>
    <t>Partner</t>
  </si>
  <si>
    <t>Grupp</t>
  </si>
  <si>
    <t>Roll</t>
  </si>
  <si>
    <t>Specialkost</t>
  </si>
  <si>
    <t>Barn</t>
  </si>
  <si>
    <t>Vill sitta nära</t>
  </si>
  <si>
    <t>Inte bredvid</t>
  </si>
  <si>
    <t>Bord</t>
  </si>
  <si>
    <t>Plats</t>
  </si>
  <si>
    <t>Kommentar</t>
  </si>
  <si>
    <t>Nyckel</t>
  </si>
  <si>
    <t>Kontroll</t>
  </si>
  <si>
    <t>ID</t>
  </si>
  <si>
    <t>Inger</t>
  </si>
  <si>
    <t>Berg</t>
  </si>
  <si>
    <t>Dam</t>
  </si>
  <si>
    <t>Erik Berg</t>
  </si>
  <si>
    <t>Mammas sida</t>
  </si>
  <si>
    <t>Hedersgäst</t>
  </si>
  <si>
    <t>Glutenfri</t>
  </si>
  <si>
    <t>Rullstol, nära utgång</t>
  </si>
  <si>
    <t>Olle</t>
  </si>
  <si>
    <t>Lund</t>
  </si>
  <si>
    <t>Herre</t>
  </si>
  <si>
    <t>Grannar</t>
  </si>
  <si>
    <t>Ja</t>
  </si>
  <si>
    <t>Sara Lund</t>
  </si>
  <si>
    <t>Sara</t>
  </si>
  <si>
    <t>Kalle Lund</t>
  </si>
  <si>
    <t>Laktosfri</t>
  </si>
  <si>
    <t>Erik</t>
  </si>
  <si>
    <t>Inger Berg</t>
  </si>
  <si>
    <t>Lena</t>
  </si>
  <si>
    <t>Ek</t>
  </si>
  <si>
    <t>Jobbet</t>
  </si>
  <si>
    <t>Vegetarisk</t>
  </si>
  <si>
    <t>Kalle</t>
  </si>
  <si>
    <t>Bord nr</t>
  </si>
  <si>
    <t>Namn</t>
  </si>
  <si>
    <t>Form</t>
  </si>
  <si>
    <t>Platser</t>
  </si>
  <si>
    <t>Placerade</t>
  </si>
  <si>
    <t>Lediga</t>
  </si>
  <si>
    <t>Status</t>
  </si>
  <si>
    <t>Damer</t>
  </si>
  <si>
    <t>Herrar</t>
  </si>
  <si>
    <t>Bord 1</t>
  </si>
  <si>
    <t>Runt</t>
  </si>
  <si>
    <t>Bord 2</t>
  </si>
  <si>
    <t>Bord 3</t>
  </si>
  <si>
    <t>Bord 4</t>
  </si>
  <si>
    <t>Bord 5</t>
  </si>
  <si>
    <t>Bord 6</t>
  </si>
  <si>
    <t>Bord 7</t>
  </si>
  <si>
    <t>Bord 8</t>
  </si>
  <si>
    <t>Bord 9</t>
  </si>
  <si>
    <t>Bord 10</t>
  </si>
  <si>
    <t>Platser totalt</t>
  </si>
  <si>
    <t>Placerade gäster</t>
  </si>
  <si>
    <t>Gäster utan bord</t>
  </si>
  <si>
    <t>Bordskarta</t>
  </si>
  <si>
    <t>Visar bord 1–10 med plats 1–12, ifyllt från fliken Gäster. Fler bord eller större bord räknas i fliken Bord men syns inte här.</t>
  </si>
  <si>
    <t>Gäst</t>
  </si>
  <si>
    <t>Vegansk</t>
  </si>
  <si>
    <t>Nötallergi</t>
  </si>
  <si>
    <t>Skaldjursallergi</t>
  </si>
  <si>
    <t>Annat</t>
  </si>
  <si>
    <t>Annan (fri text)</t>
  </si>
  <si>
    <t>Alla gäster</t>
  </si>
  <si>
    <t>Alla gäster räknas, även de som inte har fått ett bord än.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</si>
</sst>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color theme="1"/>
      <family val="2"/>
      <scheme val="minor"/>
      <sz val="11"/>
      <name val="Calibri"/>
    </font>
    <font>
      <color rgb="FFA84D2B"/>
      <sz val="22"/>
      <name val="Georgia"/>
    </font>
    <font>
      <color rgb="FF251E18"/>
      <sz val="11"/>
      <name val="Calibri"/>
    </font>
    <font>
      <b/>
      <color rgb="FF251E18"/>
      <sz val="14"/>
      <name val="Georgia"/>
    </font>
    <font>
      <b/>
      <color rgb="FFA84D2B"/>
      <sz val="11"/>
      <name val="Calibri"/>
    </font>
    <font>
      <color rgb="FF534B45"/>
      <sz val="11"/>
      <name val="Calibri"/>
    </font>
    <font>
      <i/>
      <color rgb="FF534B45"/>
      <sz val="11"/>
      <name val="Calibri"/>
    </font>
    <font>
      <b/>
      <color rgb="FF251E18"/>
      <sz val="11"/>
      <name val="Calibri"/>
    </font>
    <font>
      <u/>
      <color rgb="FFA84D2B"/>
      <sz val="11"/>
      <name val="Calibri"/>
    </font>
    <font>
      <color rgb="FF6E6762"/>
      <sz val="10"/>
      <name val="Calibri"/>
    </font>
    <font>
      <i/>
      <color rgb="FF6E6762"/>
      <sz val="11"/>
      <name val="Calibri"/>
    </font>
    <font>
      <b/>
      <color rgb="FFB02B27"/>
      <sz val="11"/>
      <name val="Calibri"/>
    </font>
    <font>
      <color rgb="FFA84D2B"/>
      <sz val="20"/>
      <name val="Georgia"/>
    </font>
    <font>
      <b/>
      <color rgb="FF251E18"/>
      <sz val="16"/>
      <name val="Georgia"/>
    </font>
    <font>
      <color rgb="FF534B45"/>
      <sz val="16"/>
      <name val="Georgia"/>
    </font>
    <font>
      <color rgb="FF251E18"/>
      <sz val="13"/>
      <name val="Calibri"/>
    </font>
  </fonts>
  <fills count="4">
    <fill>
      <patternFill patternType="none"/>
    </fill>
    <fill>
      <patternFill patternType="gray125"/>
    </fill>
    <fill>
      <patternFill patternType="solid">
        <fgColor rgb="FFFDE6DA"/>
      </patternFill>
    </fill>
    <fill>
      <patternFill patternType="solid">
        <fgColor rgb="FFF5F2EC"/>
      </patternFill>
    </fill>
  </fills>
  <borders count="4">
    <border>
      <left/>
      <right/>
      <top/>
      <bottom/>
      <diagonal/>
    </border>
    <border>
      <left/>
      <right/>
      <top/>
      <bottom style="medium">
        <color rgb="FFA84D2B"/>
      </bottom>
      <diagonal/>
    </border>
    <border>
      <left/>
      <right/>
      <top/>
      <bottom style="thin">
        <color rgb="FFE8E4DD"/>
      </bottom>
      <diagonal/>
    </border>
    <border>
      <left/>
      <right/>
      <top/>
      <bottom style="thin">
        <color rgb="FFD6D0C9"/>
      </bottom>
      <diagonal/>
    </border>
  </borders>
  <cellStyleXfs count="1">
    <xf numFmtId="0" fontId="0" fillId="0" borderId="0"/>
  </cellStyleXfs>
  <cellXfs count="2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7" fillId="2" borderId="0" xfId="0" applyFont="1" applyFill="1" applyAlignment="1">
      <alignment vertical="top" wrapText="1"/>
    </xf>
    <xf numFmtId="0" fontId="8" fillId="0" borderId="0" xfId="0" applyFont="1" applyAlignment="1">
      <alignment vertical="top" wrapText="1"/>
    </xf>
    <xf numFmtId="0" fontId="9" fillId="0" borderId="0" xfId="0" applyFont="1" applyAlignment="1">
      <alignment vertical="top" wrapText="1"/>
    </xf>
    <xf numFmtId="0" fontId="7" fillId="2" borderId="1" xfId="0" applyFont="1" applyFill="1" applyBorder="1" applyAlignment="1">
      <alignment vertical="center" wrapText="1"/>
    </xf>
    <xf numFmtId="0" fontId="10" fillId="0" borderId="2" xfId="0" applyFont="1" applyBorder="1"/>
    <xf numFmtId="1" fontId="10" fillId="0" borderId="2" xfId="0" applyNumberFormat="1" applyFont="1" applyBorder="1" applyAlignment="1">
      <alignment horizontal="center"/>
    </xf>
    <xf numFmtId="0" fontId="11" fillId="0" borderId="2" xfId="0" applyFont="1" applyBorder="1"/>
    <xf numFmtId="0" fontId="2" fillId="0" borderId="2" xfId="0" applyFont="1" applyBorder="1"/>
    <xf numFmtId="1" fontId="2" fillId="0" borderId="2" xfId="0" applyNumberFormat="1" applyFont="1" applyBorder="1" applyAlignment="1">
      <alignment horizontal="center"/>
    </xf>
    <xf numFmtId="0" fontId="2" fillId="0" borderId="2" xfId="0" applyFont="1" applyBorder="1" applyAlignment="1">
      <alignment horizontal="center"/>
    </xf>
    <xf numFmtId="0" fontId="7" fillId="3" borderId="0" xfId="0" applyFont="1" applyFill="1"/>
    <xf numFmtId="0" fontId="0" fillId="3" borderId="0" xfId="0" applyFill="1"/>
    <xf numFmtId="0" fontId="7" fillId="3" borderId="0" xfId="0" applyFont="1" applyFill="1" applyAlignment="1">
      <alignment horizontal="center"/>
    </xf>
    <xf numFmtId="0" fontId="12" fillId="0" borderId="0" xfId="0" applyFont="1"/>
    <xf numFmtId="0" fontId="9" fillId="0" borderId="0" xfId="0" applyFont="1"/>
    <xf numFmtId="0" fontId="13" fillId="0" borderId="0" xfId="0" applyFont="1"/>
    <xf numFmtId="0" fontId="14" fillId="0" borderId="0" xfId="0" applyFont="1"/>
    <xf numFmtId="0" fontId="15" fillId="0" borderId="3" xfId="0" applyFont="1" applyBorder="1" applyAlignment="1">
      <alignment horizontal="center"/>
    </xf>
    <xf numFmtId="0" fontId="15" fillId="0" borderId="3" xfId="0" applyFont="1" applyBorder="1"/>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cellXfs>
  <cellStyles count="1">
    <cellStyle name="Normal" xfId="0" builtinId="0"/>
  </cellStyles>
  <dxfs count="3">
    <dxf>
      <fill>
        <patternFill patternType="solid">
          <bgColor rgb="FFFBE3E0"/>
        </patternFill>
      </fill>
    </dxf>
    <dxf>
      <font>
        <b/>
        <color rgb="FFB02B27"/>
      </font>
      <fill>
        <patternFill patternType="solid">
          <bgColor rgb="FFFBE3E0"/>
        </patternFill>
      </fill>
    </dxf>
    <dxf>
      <font>
        <b/>
        <color rgb="FFA84D2B"/>
      </font>
      <fill>
        <patternFill patternType="solid">
          <bgColor rgb="FFFDE6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ordsplaceringen.se" TargetMode="Externa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84D2B"/>
    <pageSetUpPr fitToPage="1"/>
  </sheetPr>
  <dimension ref="A1:B25"/>
  <sheetViews>
    <sheetView workbookViewId="0" showGridLines="0"/>
  </sheetViews>
  <sheetFormatPr defaultRowHeight="15" outlineLevelRow="0" outlineLevelCol="0" x14ac:dyDescent="55"/>
  <cols>
    <col min="1" max="1" width="4" customWidth="1"/>
    <col min="2" max="2" width="96" customWidth="1"/>
  </cols>
  <sheetData>
    <row r="1" ht="34" customHeight="1" spans="1:2" x14ac:dyDescent="0.25">
      <c r="A1" s="1"/>
      <c r="B1" s="1" t="s">
        <v>0</v>
      </c>
    </row>
    <row r="2" ht="32" customHeight="1" spans="1:2" x14ac:dyDescent="0.25">
      <c r="A2" s="2"/>
      <c r="B2" s="2" t="s">
        <v>1</v>
      </c>
    </row>
    <row r="3" ht="8" customHeight="1" x14ac:dyDescent="0.25"/>
    <row r="4" ht="22" customHeight="1" spans="1:2" x14ac:dyDescent="0.25">
      <c r="A4" s="3"/>
      <c r="B4" s="3" t="s">
        <v>2</v>
      </c>
    </row>
    <row r="5" ht="32" customHeight="1" spans="1:2" x14ac:dyDescent="0.25">
      <c r="A5" s="4" t="s">
        <v>3</v>
      </c>
      <c r="B5" s="2" t="s">
        <v>4</v>
      </c>
    </row>
    <row r="6" ht="32" customHeight="1" spans="1:2" x14ac:dyDescent="0.25">
      <c r="A6" s="4" t="s">
        <v>5</v>
      </c>
      <c r="B6" s="2" t="s">
        <v>6</v>
      </c>
    </row>
    <row r="7" ht="32" customHeight="1" spans="1:2" x14ac:dyDescent="0.25">
      <c r="A7" s="4" t="s">
        <v>7</v>
      </c>
      <c r="B7" s="2" t="s">
        <v>8</v>
      </c>
    </row>
    <row r="8" ht="32" customHeight="1" spans="1:2" x14ac:dyDescent="0.25">
      <c r="A8" s="4" t="s">
        <v>9</v>
      </c>
      <c r="B8" s="2" t="s">
        <v>10</v>
      </c>
    </row>
    <row r="9" ht="32" customHeight="1" spans="1:2" x14ac:dyDescent="0.25">
      <c r="A9" s="4" t="s">
        <v>11</v>
      </c>
      <c r="B9" s="2" t="s">
        <v>12</v>
      </c>
    </row>
    <row r="10" ht="8" customHeight="1" x14ac:dyDescent="0.25"/>
    <row r="11" ht="32" customHeight="1" spans="1:2" x14ac:dyDescent="0.25">
      <c r="A11" s="5"/>
      <c r="B11" s="5" t="s">
        <v>13</v>
      </c>
    </row>
    <row r="12" ht="8" customHeight="1" x14ac:dyDescent="0.25"/>
    <row r="13" ht="22" customHeight="1" spans="1:2" x14ac:dyDescent="0.25">
      <c r="A13" s="3"/>
      <c r="B13" s="3" t="s">
        <v>14</v>
      </c>
    </row>
    <row r="14" ht="32" customHeight="1" spans="1:2" x14ac:dyDescent="0.25">
      <c r="A14" s="4" t="s">
        <v>15</v>
      </c>
      <c r="B14" s="2" t="s">
        <v>16</v>
      </c>
    </row>
    <row r="15" ht="32" customHeight="1" spans="1:2" x14ac:dyDescent="0.25">
      <c r="A15" s="4" t="s">
        <v>15</v>
      </c>
      <c r="B15" s="2" t="s">
        <v>17</v>
      </c>
    </row>
    <row r="16" ht="32" customHeight="1" spans="1:2" x14ac:dyDescent="0.25">
      <c r="A16" s="4" t="s">
        <v>15</v>
      </c>
      <c r="B16" s="2" t="s">
        <v>18</v>
      </c>
    </row>
    <row r="17" ht="32" customHeight="1" spans="1:2" x14ac:dyDescent="0.25">
      <c r="A17" s="4" t="s">
        <v>15</v>
      </c>
      <c r="B17" s="2" t="s">
        <v>19</v>
      </c>
    </row>
    <row r="18" ht="32" customHeight="1" spans="1:2" x14ac:dyDescent="0.25">
      <c r="A18" s="4" t="s">
        <v>15</v>
      </c>
      <c r="B18" s="2" t="s">
        <v>20</v>
      </c>
    </row>
    <row r="19" ht="18" customHeight="1" spans="1:2" x14ac:dyDescent="0.25">
      <c r="A19" s="6"/>
      <c r="B19" s="6" t="s">
        <v>21</v>
      </c>
    </row>
    <row r="20" ht="8" customHeight="1" x14ac:dyDescent="0.25"/>
    <row r="21" ht="22" customHeight="1" spans="1:2" x14ac:dyDescent="0.25">
      <c r="A21" s="7"/>
      <c r="B21" s="8" t="s">
        <v>22</v>
      </c>
    </row>
    <row r="22" ht="18" customHeight="1" spans="1:2" x14ac:dyDescent="0.25">
      <c r="A22" s="9"/>
      <c r="B22" s="9" t="s">
        <v>23</v>
      </c>
    </row>
    <row r="23" ht="8" customHeight="1" x14ac:dyDescent="0.25"/>
    <row r="24" ht="28" customHeight="1" spans="1:2" x14ac:dyDescent="0.25">
      <c r="A24" s="10"/>
      <c r="B24" s="10" t="s">
        <v>24</v>
      </c>
    </row>
    <row r="25" ht="16" customHeight="1" spans="1:2" x14ac:dyDescent="0.25">
      <c r="A25" s="10"/>
      <c r="B25" s="10" t="s">
        <v>25</v>
      </c>
    </row>
  </sheetData>
  <hyperlinks>
    <hyperlink ref="B22" r:id="rId1"/>
  </hyperlinks>
  <pageMargins left="0.5" right="0.5" top="0.6" bottom="0.6" header="0.3" footer="0.3"/>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01"/>
  <sheetViews>
    <sheetView workbookViewId="0">
      <pane ySplit="1" topLeftCell="A2" activePane="bottomLeft" state="frozen"/>
      <selection pane="bottomLeft" activeCell="A2" sqref="A2"/>
    </sheetView>
  </sheetViews>
  <sheetFormatPr defaultRowHeight="15" outlineLevelRow="0" outlineLevelCol="0" x14ac:dyDescent="55"/>
  <cols>
    <col min="1" max="1" width="16" customWidth="1"/>
    <col min="2" max="2" width="18" customWidth="1"/>
    <col min="3" max="3" width="11" customWidth="1"/>
    <col min="4" max="4" width="16" customWidth="1"/>
    <col min="5" max="5" width="18" customWidth="1"/>
    <col min="6" max="6" width="16" customWidth="1"/>
    <col min="7" max="7" width="14" customWidth="1"/>
    <col min="8" max="8" width="16" customWidth="1"/>
    <col min="9" max="9" width="7" customWidth="1"/>
    <col min="10" max="11" width="20" customWidth="1"/>
    <col min="12" max="13" width="7" customWidth="1"/>
    <col min="14" max="14" width="28" customWidth="1"/>
    <col min="15" max="15" width="8" hidden="1" customWidth="1"/>
    <col min="16" max="16" width="26" customWidth="1"/>
    <col min="17" max="17" width="12" hidden="1" customWidth="1"/>
  </cols>
  <sheetData>
    <row r="1" ht="22" customHeight="1" spans="1:17" x14ac:dyDescent="0.25">
      <c r="A1" s="11" t="s">
        <v>26</v>
      </c>
      <c r="B1" s="11" t="s">
        <v>27</v>
      </c>
      <c r="C1" s="11" t="s">
        <v>28</v>
      </c>
      <c r="D1" s="11" t="s">
        <v>29</v>
      </c>
      <c r="E1" s="11" t="s">
        <v>30</v>
      </c>
      <c r="F1" s="11" t="s">
        <v>31</v>
      </c>
      <c r="G1" s="11" t="s">
        <v>32</v>
      </c>
      <c r="H1" s="11" t="s">
        <v>33</v>
      </c>
      <c r="I1" s="11" t="s">
        <v>34</v>
      </c>
      <c r="J1" s="11" t="s">
        <v>35</v>
      </c>
      <c r="K1" s="11" t="s">
        <v>36</v>
      </c>
      <c r="L1" s="11" t="s">
        <v>37</v>
      </c>
      <c r="M1" s="11" t="s">
        <v>38</v>
      </c>
      <c r="N1" s="11" t="s">
        <v>39</v>
      </c>
      <c r="O1" s="11" t="s">
        <v>40</v>
      </c>
      <c r="P1" s="11" t="s">
        <v>41</v>
      </c>
      <c r="Q1" s="11" t="s">
        <v>42</v>
      </c>
    </row>
    <row r="2" spans="1:17" x14ac:dyDescent="0.25">
      <c r="A2" s="12" t="s">
        <v>43</v>
      </c>
      <c r="B2" s="12" t="s">
        <v>44</v>
      </c>
      <c r="C2" s="12" t="s">
        <v>45</v>
      </c>
      <c r="D2" s="12" t="s">
        <v>44</v>
      </c>
      <c r="E2" s="12" t="s">
        <v>46</v>
      </c>
      <c r="F2" s="12" t="s">
        <v>47</v>
      </c>
      <c r="G2" s="12" t="s">
        <v>48</v>
      </c>
      <c r="H2" s="12" t="s">
        <v>49</v>
      </c>
      <c r="I2" s="12"/>
      <c r="J2" s="12"/>
      <c r="K2" s="12"/>
      <c r="L2" s="13">
        <v>1</v>
      </c>
      <c r="M2" s="13">
        <v>1</v>
      </c>
      <c r="N2" s="12" t="s">
        <v>50</v>
      </c>
      <c r="O2" s="12" t="str">
        <f>IF(AND(L2&lt;&gt;"",M2&lt;&gt;""),L2&amp;"-"&amp;M2,"")</f>
        <v>1-1</v>
      </c>
      <c r="P2" s="14" t="str">
        <f>IF(AND(O2&lt;&gt;"",COUNTIF($O$2:$O$301,O2)&gt;1),"Två gäster på samma plats!","")</f>
        <v/>
      </c>
      <c r="Q2" s="12"/>
    </row>
    <row r="3" spans="1:17" x14ac:dyDescent="0.25">
      <c r="A3" s="12" t="s">
        <v>51</v>
      </c>
      <c r="B3" s="12" t="s">
        <v>52</v>
      </c>
      <c r="C3" s="12" t="s">
        <v>53</v>
      </c>
      <c r="D3" s="12" t="s">
        <v>52</v>
      </c>
      <c r="E3" s="12"/>
      <c r="F3" s="12" t="s">
        <v>54</v>
      </c>
      <c r="G3" s="12"/>
      <c r="H3" s="12"/>
      <c r="I3" s="12" t="s">
        <v>55</v>
      </c>
      <c r="J3" s="12" t="s">
        <v>56</v>
      </c>
      <c r="K3" s="12"/>
      <c r="L3" s="13">
        <v>1</v>
      </c>
      <c r="M3" s="13">
        <v>2</v>
      </c>
      <c r="N3" s="12"/>
      <c r="O3" s="12" t="str">
        <f>IF(AND(L3&lt;&gt;"",M3&lt;&gt;""),L3&amp;"-"&amp;M3,"")</f>
        <v>1-2</v>
      </c>
      <c r="P3" s="14" t="str">
        <f>IF(AND(O3&lt;&gt;"",COUNTIF($O$2:$O$301,O3)&gt;1),"Två gäster på samma plats!","")</f>
        <v/>
      </c>
      <c r="Q3" s="12"/>
    </row>
    <row r="4" spans="1:17" x14ac:dyDescent="0.25">
      <c r="A4" s="12" t="s">
        <v>57</v>
      </c>
      <c r="B4" s="12" t="s">
        <v>52</v>
      </c>
      <c r="C4" s="12" t="s">
        <v>45</v>
      </c>
      <c r="D4" s="12" t="s">
        <v>52</v>
      </c>
      <c r="E4" s="12" t="s">
        <v>58</v>
      </c>
      <c r="F4" s="12" t="s">
        <v>54</v>
      </c>
      <c r="G4" s="12"/>
      <c r="H4" s="12" t="s">
        <v>59</v>
      </c>
      <c r="I4" s="12"/>
      <c r="J4" s="12"/>
      <c r="K4" s="12"/>
      <c r="L4" s="13">
        <v>1</v>
      </c>
      <c r="M4" s="13">
        <v>3</v>
      </c>
      <c r="N4" s="12"/>
      <c r="O4" s="12" t="str">
        <f>IF(AND(L4&lt;&gt;"",M4&lt;&gt;""),L4&amp;"-"&amp;M4,"")</f>
        <v>1-3</v>
      </c>
      <c r="P4" s="14" t="str">
        <f>IF(AND(O4&lt;&gt;"",COUNTIF($O$2:$O$301,O4)&gt;1),"Två gäster på samma plats!","")</f>
        <v/>
      </c>
      <c r="Q4" s="12"/>
    </row>
    <row r="5" spans="1:17" x14ac:dyDescent="0.25">
      <c r="A5" s="12" t="s">
        <v>60</v>
      </c>
      <c r="B5" s="12" t="s">
        <v>44</v>
      </c>
      <c r="C5" s="12" t="s">
        <v>53</v>
      </c>
      <c r="D5" s="12" t="s">
        <v>44</v>
      </c>
      <c r="E5" s="12" t="s">
        <v>61</v>
      </c>
      <c r="F5" s="12" t="s">
        <v>47</v>
      </c>
      <c r="G5" s="12"/>
      <c r="H5" s="12"/>
      <c r="I5" s="12"/>
      <c r="J5" s="12"/>
      <c r="K5" s="12"/>
      <c r="L5" s="13">
        <v>2</v>
      </c>
      <c r="M5" s="13">
        <v>1</v>
      </c>
      <c r="N5" s="12"/>
      <c r="O5" s="12" t="str">
        <f>IF(AND(L5&lt;&gt;"",M5&lt;&gt;""),L5&amp;"-"&amp;M5,"")</f>
        <v>2-1</v>
      </c>
      <c r="P5" s="14" t="str">
        <f>IF(AND(O5&lt;&gt;"",COUNTIF($O$2:$O$301,O5)&gt;1),"Två gäster på samma plats!","")</f>
        <v/>
      </c>
      <c r="Q5" s="12"/>
    </row>
    <row r="6" spans="1:17" x14ac:dyDescent="0.25">
      <c r="A6" s="12" t="s">
        <v>62</v>
      </c>
      <c r="B6" s="12" t="s">
        <v>63</v>
      </c>
      <c r="C6" s="12" t="s">
        <v>45</v>
      </c>
      <c r="D6" s="12" t="s">
        <v>63</v>
      </c>
      <c r="E6" s="12"/>
      <c r="F6" s="12" t="s">
        <v>64</v>
      </c>
      <c r="G6" s="12"/>
      <c r="H6" s="12" t="s">
        <v>65</v>
      </c>
      <c r="I6" s="12"/>
      <c r="J6" s="12" t="s">
        <v>46</v>
      </c>
      <c r="K6" s="12"/>
      <c r="L6" s="13">
        <v>2</v>
      </c>
      <c r="M6" s="13">
        <v>2</v>
      </c>
      <c r="N6" s="12"/>
      <c r="O6" s="12" t="str">
        <f>IF(AND(L6&lt;&gt;"",M6&lt;&gt;""),L6&amp;"-"&amp;M6,"")</f>
        <v>2-2</v>
      </c>
      <c r="P6" s="14" t="str">
        <f>IF(AND(O6&lt;&gt;"",COUNTIF($O$2:$O$301,O6)&gt;1),"Två gäster på samma plats!","")</f>
        <v/>
      </c>
      <c r="Q6" s="12"/>
    </row>
    <row r="7" spans="1:17" x14ac:dyDescent="0.25">
      <c r="A7" s="12" t="s">
        <v>66</v>
      </c>
      <c r="B7" s="12" t="s">
        <v>52</v>
      </c>
      <c r="C7" s="12" t="s">
        <v>53</v>
      </c>
      <c r="D7" s="12" t="s">
        <v>52</v>
      </c>
      <c r="E7" s="12" t="s">
        <v>56</v>
      </c>
      <c r="F7" s="12" t="s">
        <v>54</v>
      </c>
      <c r="G7" s="12"/>
      <c r="H7" s="12"/>
      <c r="I7" s="12"/>
      <c r="J7" s="12"/>
      <c r="K7" s="12" t="s">
        <v>46</v>
      </c>
      <c r="L7" s="13">
        <v>2</v>
      </c>
      <c r="M7" s="13">
        <v>3</v>
      </c>
      <c r="N7" s="12"/>
      <c r="O7" s="12" t="str">
        <f>IF(AND(L7&lt;&gt;"",M7&lt;&gt;""),L7&amp;"-"&amp;M7,"")</f>
        <v>2-3</v>
      </c>
      <c r="P7" s="14" t="str">
        <f>IF(AND(O7&lt;&gt;"",COUNTIF($O$2:$O$301,O7)&gt;1),"Två gäster på samma plats!","")</f>
        <v/>
      </c>
      <c r="Q7" s="12"/>
    </row>
    <row r="8" spans="1:17" x14ac:dyDescent="0.25">
      <c r="A8" s="15"/>
      <c r="B8" s="15"/>
      <c r="C8" s="15"/>
      <c r="D8" s="15"/>
      <c r="E8" s="15"/>
      <c r="F8" s="15"/>
      <c r="G8" s="15"/>
      <c r="H8" s="15"/>
      <c r="I8" s="15"/>
      <c r="J8" s="15"/>
      <c r="K8" s="15"/>
      <c r="L8" s="16"/>
      <c r="M8" s="16"/>
      <c r="N8" s="15"/>
      <c r="O8" s="15" t="str">
        <f>IF(AND(L8&lt;&gt;"",M8&lt;&gt;""),L8&amp;"-"&amp;M8,"")</f>
        <v/>
      </c>
      <c r="P8" s="14" t="str">
        <f>IF(AND(O8&lt;&gt;"",COUNTIF($O$2:$O$301,O8)&gt;1),"Två gäster på samma plats!","")</f>
        <v/>
      </c>
      <c r="Q8" s="15"/>
    </row>
    <row r="9" spans="1:17" x14ac:dyDescent="0.25">
      <c r="A9" s="15"/>
      <c r="B9" s="15"/>
      <c r="C9" s="15"/>
      <c r="D9" s="15"/>
      <c r="E9" s="15"/>
      <c r="F9" s="15"/>
      <c r="G9" s="15"/>
      <c r="H9" s="15"/>
      <c r="I9" s="15"/>
      <c r="J9" s="15"/>
      <c r="K9" s="15"/>
      <c r="L9" s="16"/>
      <c r="M9" s="16"/>
      <c r="N9" s="15"/>
      <c r="O9" s="15" t="str">
        <f>IF(AND(L9&lt;&gt;"",M9&lt;&gt;""),L9&amp;"-"&amp;M9,"")</f>
        <v/>
      </c>
      <c r="P9" s="14" t="str">
        <f>IF(AND(O9&lt;&gt;"",COUNTIF($O$2:$O$301,O9)&gt;1),"Två gäster på samma plats!","")</f>
        <v/>
      </c>
      <c r="Q9" s="15"/>
    </row>
    <row r="10" spans="1:17" x14ac:dyDescent="0.25">
      <c r="A10" s="15"/>
      <c r="B10" s="15"/>
      <c r="C10" s="15"/>
      <c r="D10" s="15"/>
      <c r="E10" s="15"/>
      <c r="F10" s="15"/>
      <c r="G10" s="15"/>
      <c r="H10" s="15"/>
      <c r="I10" s="15"/>
      <c r="J10" s="15"/>
      <c r="K10" s="15"/>
      <c r="L10" s="16"/>
      <c r="M10" s="16"/>
      <c r="N10" s="15"/>
      <c r="O10" s="15" t="str">
        <f>IF(AND(L10&lt;&gt;"",M10&lt;&gt;""),L10&amp;"-"&amp;M10,"")</f>
        <v/>
      </c>
      <c r="P10" s="14" t="str">
        <f>IF(AND(O10&lt;&gt;"",COUNTIF($O$2:$O$301,O10)&gt;1),"Två gäster på samma plats!","")</f>
        <v/>
      </c>
      <c r="Q10" s="15"/>
    </row>
    <row r="11" spans="1:17" x14ac:dyDescent="0.25">
      <c r="A11" s="15"/>
      <c r="B11" s="15"/>
      <c r="C11" s="15"/>
      <c r="D11" s="15"/>
      <c r="E11" s="15"/>
      <c r="F11" s="15"/>
      <c r="G11" s="15"/>
      <c r="H11" s="15"/>
      <c r="I11" s="15"/>
      <c r="J11" s="15"/>
      <c r="K11" s="15"/>
      <c r="L11" s="16"/>
      <c r="M11" s="16"/>
      <c r="N11" s="15"/>
      <c r="O11" s="15" t="str">
        <f>IF(AND(L11&lt;&gt;"",M11&lt;&gt;""),L11&amp;"-"&amp;M11,"")</f>
        <v/>
      </c>
      <c r="P11" s="14" t="str">
        <f>IF(AND(O11&lt;&gt;"",COUNTIF($O$2:$O$301,O11)&gt;1),"Två gäster på samma plats!","")</f>
        <v/>
      </c>
      <c r="Q11" s="15"/>
    </row>
    <row r="12" spans="1:17" x14ac:dyDescent="0.25">
      <c r="A12" s="15"/>
      <c r="B12" s="15"/>
      <c r="C12" s="15"/>
      <c r="D12" s="15"/>
      <c r="E12" s="15"/>
      <c r="F12" s="15"/>
      <c r="G12" s="15"/>
      <c r="H12" s="15"/>
      <c r="I12" s="15"/>
      <c r="J12" s="15"/>
      <c r="K12" s="15"/>
      <c r="L12" s="16"/>
      <c r="M12" s="16"/>
      <c r="N12" s="15"/>
      <c r="O12" s="15" t="str">
        <f>IF(AND(L12&lt;&gt;"",M12&lt;&gt;""),L12&amp;"-"&amp;M12,"")</f>
        <v/>
      </c>
      <c r="P12" s="14" t="str">
        <f>IF(AND(O12&lt;&gt;"",COUNTIF($O$2:$O$301,O12)&gt;1),"Två gäster på samma plats!","")</f>
        <v/>
      </c>
      <c r="Q12" s="15"/>
    </row>
    <row r="13" spans="1:17" x14ac:dyDescent="0.25">
      <c r="A13" s="15"/>
      <c r="B13" s="15"/>
      <c r="C13" s="15"/>
      <c r="D13" s="15"/>
      <c r="E13" s="15"/>
      <c r="F13" s="15"/>
      <c r="G13" s="15"/>
      <c r="H13" s="15"/>
      <c r="I13" s="15"/>
      <c r="J13" s="15"/>
      <c r="K13" s="15"/>
      <c r="L13" s="16"/>
      <c r="M13" s="16"/>
      <c r="N13" s="15"/>
      <c r="O13" s="15" t="str">
        <f>IF(AND(L13&lt;&gt;"",M13&lt;&gt;""),L13&amp;"-"&amp;M13,"")</f>
        <v/>
      </c>
      <c r="P13" s="14" t="str">
        <f>IF(AND(O13&lt;&gt;"",COUNTIF($O$2:$O$301,O13)&gt;1),"Två gäster på samma plats!","")</f>
        <v/>
      </c>
      <c r="Q13" s="15"/>
    </row>
    <row r="14" spans="1:17" x14ac:dyDescent="0.25">
      <c r="A14" s="15"/>
      <c r="B14" s="15"/>
      <c r="C14" s="15"/>
      <c r="D14" s="15"/>
      <c r="E14" s="15"/>
      <c r="F14" s="15"/>
      <c r="G14" s="15"/>
      <c r="H14" s="15"/>
      <c r="I14" s="15"/>
      <c r="J14" s="15"/>
      <c r="K14" s="15"/>
      <c r="L14" s="16"/>
      <c r="M14" s="16"/>
      <c r="N14" s="15"/>
      <c r="O14" s="15" t="str">
        <f>IF(AND(L14&lt;&gt;"",M14&lt;&gt;""),L14&amp;"-"&amp;M14,"")</f>
        <v/>
      </c>
      <c r="P14" s="14" t="str">
        <f>IF(AND(O14&lt;&gt;"",COUNTIF($O$2:$O$301,O14)&gt;1),"Två gäster på samma plats!","")</f>
        <v/>
      </c>
      <c r="Q14" s="15"/>
    </row>
    <row r="15" spans="1:17" x14ac:dyDescent="0.25">
      <c r="A15" s="15"/>
      <c r="B15" s="15"/>
      <c r="C15" s="15"/>
      <c r="D15" s="15"/>
      <c r="E15" s="15"/>
      <c r="F15" s="15"/>
      <c r="G15" s="15"/>
      <c r="H15" s="15"/>
      <c r="I15" s="15"/>
      <c r="J15" s="15"/>
      <c r="K15" s="15"/>
      <c r="L15" s="16"/>
      <c r="M15" s="16"/>
      <c r="N15" s="15"/>
      <c r="O15" s="15" t="str">
        <f>IF(AND(L15&lt;&gt;"",M15&lt;&gt;""),L15&amp;"-"&amp;M15,"")</f>
        <v/>
      </c>
      <c r="P15" s="14" t="str">
        <f>IF(AND(O15&lt;&gt;"",COUNTIF($O$2:$O$301,O15)&gt;1),"Två gäster på samma plats!","")</f>
        <v/>
      </c>
      <c r="Q15" s="15"/>
    </row>
    <row r="16" spans="1:17" x14ac:dyDescent="0.25">
      <c r="A16" s="15"/>
      <c r="B16" s="15"/>
      <c r="C16" s="15"/>
      <c r="D16" s="15"/>
      <c r="E16" s="15"/>
      <c r="F16" s="15"/>
      <c r="G16" s="15"/>
      <c r="H16" s="15"/>
      <c r="I16" s="15"/>
      <c r="J16" s="15"/>
      <c r="K16" s="15"/>
      <c r="L16" s="16"/>
      <c r="M16" s="16"/>
      <c r="N16" s="15"/>
      <c r="O16" s="15" t="str">
        <f>IF(AND(L16&lt;&gt;"",M16&lt;&gt;""),L16&amp;"-"&amp;M16,"")</f>
        <v/>
      </c>
      <c r="P16" s="14" t="str">
        <f>IF(AND(O16&lt;&gt;"",COUNTIF($O$2:$O$301,O16)&gt;1),"Två gäster på samma plats!","")</f>
        <v/>
      </c>
      <c r="Q16" s="15"/>
    </row>
    <row r="17" spans="1:17" x14ac:dyDescent="0.25">
      <c r="A17" s="15"/>
      <c r="B17" s="15"/>
      <c r="C17" s="15"/>
      <c r="D17" s="15"/>
      <c r="E17" s="15"/>
      <c r="F17" s="15"/>
      <c r="G17" s="15"/>
      <c r="H17" s="15"/>
      <c r="I17" s="15"/>
      <c r="J17" s="15"/>
      <c r="K17" s="15"/>
      <c r="L17" s="16"/>
      <c r="M17" s="16"/>
      <c r="N17" s="15"/>
      <c r="O17" s="15" t="str">
        <f>IF(AND(L17&lt;&gt;"",M17&lt;&gt;""),L17&amp;"-"&amp;M17,"")</f>
        <v/>
      </c>
      <c r="P17" s="14" t="str">
        <f>IF(AND(O17&lt;&gt;"",COUNTIF($O$2:$O$301,O17)&gt;1),"Två gäster på samma plats!","")</f>
        <v/>
      </c>
      <c r="Q17" s="15"/>
    </row>
    <row r="18" spans="1:17" x14ac:dyDescent="0.25">
      <c r="A18" s="15"/>
      <c r="B18" s="15"/>
      <c r="C18" s="15"/>
      <c r="D18" s="15"/>
      <c r="E18" s="15"/>
      <c r="F18" s="15"/>
      <c r="G18" s="15"/>
      <c r="H18" s="15"/>
      <c r="I18" s="15"/>
      <c r="J18" s="15"/>
      <c r="K18" s="15"/>
      <c r="L18" s="16"/>
      <c r="M18" s="16"/>
      <c r="N18" s="15"/>
      <c r="O18" s="15" t="str">
        <f>IF(AND(L18&lt;&gt;"",M18&lt;&gt;""),L18&amp;"-"&amp;M18,"")</f>
        <v/>
      </c>
      <c r="P18" s="14" t="str">
        <f>IF(AND(O18&lt;&gt;"",COUNTIF($O$2:$O$301,O18)&gt;1),"Två gäster på samma plats!","")</f>
        <v/>
      </c>
      <c r="Q18" s="15"/>
    </row>
    <row r="19" spans="1:17" x14ac:dyDescent="0.25">
      <c r="A19" s="15"/>
      <c r="B19" s="15"/>
      <c r="C19" s="15"/>
      <c r="D19" s="15"/>
      <c r="E19" s="15"/>
      <c r="F19" s="15"/>
      <c r="G19" s="15"/>
      <c r="H19" s="15"/>
      <c r="I19" s="15"/>
      <c r="J19" s="15"/>
      <c r="K19" s="15"/>
      <c r="L19" s="16"/>
      <c r="M19" s="16"/>
      <c r="N19" s="15"/>
      <c r="O19" s="15" t="str">
        <f>IF(AND(L19&lt;&gt;"",M19&lt;&gt;""),L19&amp;"-"&amp;M19,"")</f>
        <v/>
      </c>
      <c r="P19" s="14" t="str">
        <f>IF(AND(O19&lt;&gt;"",COUNTIF($O$2:$O$301,O19)&gt;1),"Två gäster på samma plats!","")</f>
        <v/>
      </c>
      <c r="Q19" s="15"/>
    </row>
    <row r="20" spans="1:17" x14ac:dyDescent="0.25">
      <c r="A20" s="15"/>
      <c r="B20" s="15"/>
      <c r="C20" s="15"/>
      <c r="D20" s="15"/>
      <c r="E20" s="15"/>
      <c r="F20" s="15"/>
      <c r="G20" s="15"/>
      <c r="H20" s="15"/>
      <c r="I20" s="15"/>
      <c r="J20" s="15"/>
      <c r="K20" s="15"/>
      <c r="L20" s="16"/>
      <c r="M20" s="16"/>
      <c r="N20" s="15"/>
      <c r="O20" s="15" t="str">
        <f>IF(AND(L20&lt;&gt;"",M20&lt;&gt;""),L20&amp;"-"&amp;M20,"")</f>
        <v/>
      </c>
      <c r="P20" s="14" t="str">
        <f>IF(AND(O20&lt;&gt;"",COUNTIF($O$2:$O$301,O20)&gt;1),"Två gäster på samma plats!","")</f>
        <v/>
      </c>
      <c r="Q20" s="15"/>
    </row>
    <row r="21" spans="1:17" x14ac:dyDescent="0.25">
      <c r="A21" s="15"/>
      <c r="B21" s="15"/>
      <c r="C21" s="15"/>
      <c r="D21" s="15"/>
      <c r="E21" s="15"/>
      <c r="F21" s="15"/>
      <c r="G21" s="15"/>
      <c r="H21" s="15"/>
      <c r="I21" s="15"/>
      <c r="J21" s="15"/>
      <c r="K21" s="15"/>
      <c r="L21" s="16"/>
      <c r="M21" s="16"/>
      <c r="N21" s="15"/>
      <c r="O21" s="15" t="str">
        <f>IF(AND(L21&lt;&gt;"",M21&lt;&gt;""),L21&amp;"-"&amp;M21,"")</f>
        <v/>
      </c>
      <c r="P21" s="14" t="str">
        <f>IF(AND(O21&lt;&gt;"",COUNTIF($O$2:$O$301,O21)&gt;1),"Två gäster på samma plats!","")</f>
        <v/>
      </c>
      <c r="Q21" s="15"/>
    </row>
    <row r="22" spans="1:17" x14ac:dyDescent="0.25">
      <c r="A22" s="15"/>
      <c r="B22" s="15"/>
      <c r="C22" s="15"/>
      <c r="D22" s="15"/>
      <c r="E22" s="15"/>
      <c r="F22" s="15"/>
      <c r="G22" s="15"/>
      <c r="H22" s="15"/>
      <c r="I22" s="15"/>
      <c r="J22" s="15"/>
      <c r="K22" s="15"/>
      <c r="L22" s="16"/>
      <c r="M22" s="16"/>
      <c r="N22" s="15"/>
      <c r="O22" s="15" t="str">
        <f>IF(AND(L22&lt;&gt;"",M22&lt;&gt;""),L22&amp;"-"&amp;M22,"")</f>
        <v/>
      </c>
      <c r="P22" s="14" t="str">
        <f>IF(AND(O22&lt;&gt;"",COUNTIF($O$2:$O$301,O22)&gt;1),"Två gäster på samma plats!","")</f>
        <v/>
      </c>
      <c r="Q22" s="15"/>
    </row>
    <row r="23" spans="1:17" x14ac:dyDescent="0.25">
      <c r="A23" s="15"/>
      <c r="B23" s="15"/>
      <c r="C23" s="15"/>
      <c r="D23" s="15"/>
      <c r="E23" s="15"/>
      <c r="F23" s="15"/>
      <c r="G23" s="15"/>
      <c r="H23" s="15"/>
      <c r="I23" s="15"/>
      <c r="J23" s="15"/>
      <c r="K23" s="15"/>
      <c r="L23" s="16"/>
      <c r="M23" s="16"/>
      <c r="N23" s="15"/>
      <c r="O23" s="15" t="str">
        <f>IF(AND(L23&lt;&gt;"",M23&lt;&gt;""),L23&amp;"-"&amp;M23,"")</f>
        <v/>
      </c>
      <c r="P23" s="14" t="str">
        <f>IF(AND(O23&lt;&gt;"",COUNTIF($O$2:$O$301,O23)&gt;1),"Två gäster på samma plats!","")</f>
        <v/>
      </c>
      <c r="Q23" s="15"/>
    </row>
    <row r="24" spans="1:17" x14ac:dyDescent="0.25">
      <c r="A24" s="15"/>
      <c r="B24" s="15"/>
      <c r="C24" s="15"/>
      <c r="D24" s="15"/>
      <c r="E24" s="15"/>
      <c r="F24" s="15"/>
      <c r="G24" s="15"/>
      <c r="H24" s="15"/>
      <c r="I24" s="15"/>
      <c r="J24" s="15"/>
      <c r="K24" s="15"/>
      <c r="L24" s="16"/>
      <c r="M24" s="16"/>
      <c r="N24" s="15"/>
      <c r="O24" s="15" t="str">
        <f>IF(AND(L24&lt;&gt;"",M24&lt;&gt;""),L24&amp;"-"&amp;M24,"")</f>
        <v/>
      </c>
      <c r="P24" s="14" t="str">
        <f>IF(AND(O24&lt;&gt;"",COUNTIF($O$2:$O$301,O24)&gt;1),"Två gäster på samma plats!","")</f>
        <v/>
      </c>
      <c r="Q24" s="15"/>
    </row>
    <row r="25" spans="1:17" x14ac:dyDescent="0.25">
      <c r="A25" s="15"/>
      <c r="B25" s="15"/>
      <c r="C25" s="15"/>
      <c r="D25" s="15"/>
      <c r="E25" s="15"/>
      <c r="F25" s="15"/>
      <c r="G25" s="15"/>
      <c r="H25" s="15"/>
      <c r="I25" s="15"/>
      <c r="J25" s="15"/>
      <c r="K25" s="15"/>
      <c r="L25" s="16"/>
      <c r="M25" s="16"/>
      <c r="N25" s="15"/>
      <c r="O25" s="15" t="str">
        <f>IF(AND(L25&lt;&gt;"",M25&lt;&gt;""),L25&amp;"-"&amp;M25,"")</f>
        <v/>
      </c>
      <c r="P25" s="14" t="str">
        <f>IF(AND(O25&lt;&gt;"",COUNTIF($O$2:$O$301,O25)&gt;1),"Två gäster på samma plats!","")</f>
        <v/>
      </c>
      <c r="Q25" s="15"/>
    </row>
    <row r="26" spans="1:17" x14ac:dyDescent="0.25">
      <c r="A26" s="15"/>
      <c r="B26" s="15"/>
      <c r="C26" s="15"/>
      <c r="D26" s="15"/>
      <c r="E26" s="15"/>
      <c r="F26" s="15"/>
      <c r="G26" s="15"/>
      <c r="H26" s="15"/>
      <c r="I26" s="15"/>
      <c r="J26" s="15"/>
      <c r="K26" s="15"/>
      <c r="L26" s="16"/>
      <c r="M26" s="16"/>
      <c r="N26" s="15"/>
      <c r="O26" s="15" t="str">
        <f>IF(AND(L26&lt;&gt;"",M26&lt;&gt;""),L26&amp;"-"&amp;M26,"")</f>
        <v/>
      </c>
      <c r="P26" s="14" t="str">
        <f>IF(AND(O26&lt;&gt;"",COUNTIF($O$2:$O$301,O26)&gt;1),"Två gäster på samma plats!","")</f>
        <v/>
      </c>
      <c r="Q26" s="15"/>
    </row>
    <row r="27" spans="1:17" x14ac:dyDescent="0.25">
      <c r="A27" s="15"/>
      <c r="B27" s="15"/>
      <c r="C27" s="15"/>
      <c r="D27" s="15"/>
      <c r="E27" s="15"/>
      <c r="F27" s="15"/>
      <c r="G27" s="15"/>
      <c r="H27" s="15"/>
      <c r="I27" s="15"/>
      <c r="J27" s="15"/>
      <c r="K27" s="15"/>
      <c r="L27" s="16"/>
      <c r="M27" s="16"/>
      <c r="N27" s="15"/>
      <c r="O27" s="15" t="str">
        <f>IF(AND(L27&lt;&gt;"",M27&lt;&gt;""),L27&amp;"-"&amp;M27,"")</f>
        <v/>
      </c>
      <c r="P27" s="14" t="str">
        <f>IF(AND(O27&lt;&gt;"",COUNTIF($O$2:$O$301,O27)&gt;1),"Två gäster på samma plats!","")</f>
        <v/>
      </c>
      <c r="Q27" s="15"/>
    </row>
    <row r="28" spans="1:17" x14ac:dyDescent="0.25">
      <c r="A28" s="15"/>
      <c r="B28" s="15"/>
      <c r="C28" s="15"/>
      <c r="D28" s="15"/>
      <c r="E28" s="15"/>
      <c r="F28" s="15"/>
      <c r="G28" s="15"/>
      <c r="H28" s="15"/>
      <c r="I28" s="15"/>
      <c r="J28" s="15"/>
      <c r="K28" s="15"/>
      <c r="L28" s="16"/>
      <c r="M28" s="16"/>
      <c r="N28" s="15"/>
      <c r="O28" s="15" t="str">
        <f>IF(AND(L28&lt;&gt;"",M28&lt;&gt;""),L28&amp;"-"&amp;M28,"")</f>
        <v/>
      </c>
      <c r="P28" s="14" t="str">
        <f>IF(AND(O28&lt;&gt;"",COUNTIF($O$2:$O$301,O28)&gt;1),"Två gäster på samma plats!","")</f>
        <v/>
      </c>
      <c r="Q28" s="15"/>
    </row>
    <row r="29" spans="1:17" x14ac:dyDescent="0.25">
      <c r="A29" s="15"/>
      <c r="B29" s="15"/>
      <c r="C29" s="15"/>
      <c r="D29" s="15"/>
      <c r="E29" s="15"/>
      <c r="F29" s="15"/>
      <c r="G29" s="15"/>
      <c r="H29" s="15"/>
      <c r="I29" s="15"/>
      <c r="J29" s="15"/>
      <c r="K29" s="15"/>
      <c r="L29" s="16"/>
      <c r="M29" s="16"/>
      <c r="N29" s="15"/>
      <c r="O29" s="15" t="str">
        <f>IF(AND(L29&lt;&gt;"",M29&lt;&gt;""),L29&amp;"-"&amp;M29,"")</f>
        <v/>
      </c>
      <c r="P29" s="14" t="str">
        <f>IF(AND(O29&lt;&gt;"",COUNTIF($O$2:$O$301,O29)&gt;1),"Två gäster på samma plats!","")</f>
        <v/>
      </c>
      <c r="Q29" s="15"/>
    </row>
    <row r="30" spans="1:17" x14ac:dyDescent="0.25">
      <c r="A30" s="15"/>
      <c r="B30" s="15"/>
      <c r="C30" s="15"/>
      <c r="D30" s="15"/>
      <c r="E30" s="15"/>
      <c r="F30" s="15"/>
      <c r="G30" s="15"/>
      <c r="H30" s="15"/>
      <c r="I30" s="15"/>
      <c r="J30" s="15"/>
      <c r="K30" s="15"/>
      <c r="L30" s="16"/>
      <c r="M30" s="16"/>
      <c r="N30" s="15"/>
      <c r="O30" s="15" t="str">
        <f>IF(AND(L30&lt;&gt;"",M30&lt;&gt;""),L30&amp;"-"&amp;M30,"")</f>
        <v/>
      </c>
      <c r="P30" s="14" t="str">
        <f>IF(AND(O30&lt;&gt;"",COUNTIF($O$2:$O$301,O30)&gt;1),"Två gäster på samma plats!","")</f>
        <v/>
      </c>
      <c r="Q30" s="15"/>
    </row>
    <row r="31" spans="1:17" x14ac:dyDescent="0.25">
      <c r="A31" s="15"/>
      <c r="B31" s="15"/>
      <c r="C31" s="15"/>
      <c r="D31" s="15"/>
      <c r="E31" s="15"/>
      <c r="F31" s="15"/>
      <c r="G31" s="15"/>
      <c r="H31" s="15"/>
      <c r="I31" s="15"/>
      <c r="J31" s="15"/>
      <c r="K31" s="15"/>
      <c r="L31" s="16"/>
      <c r="M31" s="16"/>
      <c r="N31" s="15"/>
      <c r="O31" s="15" t="str">
        <f>IF(AND(L31&lt;&gt;"",M31&lt;&gt;""),L31&amp;"-"&amp;M31,"")</f>
        <v/>
      </c>
      <c r="P31" s="14" t="str">
        <f>IF(AND(O31&lt;&gt;"",COUNTIF($O$2:$O$301,O31)&gt;1),"Två gäster på samma plats!","")</f>
        <v/>
      </c>
      <c r="Q31" s="15"/>
    </row>
    <row r="32" spans="1:17" x14ac:dyDescent="0.25">
      <c r="A32" s="15"/>
      <c r="B32" s="15"/>
      <c r="C32" s="15"/>
      <c r="D32" s="15"/>
      <c r="E32" s="15"/>
      <c r="F32" s="15"/>
      <c r="G32" s="15"/>
      <c r="H32" s="15"/>
      <c r="I32" s="15"/>
      <c r="J32" s="15"/>
      <c r="K32" s="15"/>
      <c r="L32" s="16"/>
      <c r="M32" s="16"/>
      <c r="N32" s="15"/>
      <c r="O32" s="15" t="str">
        <f>IF(AND(L32&lt;&gt;"",M32&lt;&gt;""),L32&amp;"-"&amp;M32,"")</f>
        <v/>
      </c>
      <c r="P32" s="14" t="str">
        <f>IF(AND(O32&lt;&gt;"",COUNTIF($O$2:$O$301,O32)&gt;1),"Två gäster på samma plats!","")</f>
        <v/>
      </c>
      <c r="Q32" s="15"/>
    </row>
    <row r="33" spans="1:17" x14ac:dyDescent="0.25">
      <c r="A33" s="15"/>
      <c r="B33" s="15"/>
      <c r="C33" s="15"/>
      <c r="D33" s="15"/>
      <c r="E33" s="15"/>
      <c r="F33" s="15"/>
      <c r="G33" s="15"/>
      <c r="H33" s="15"/>
      <c r="I33" s="15"/>
      <c r="J33" s="15"/>
      <c r="K33" s="15"/>
      <c r="L33" s="16"/>
      <c r="M33" s="16"/>
      <c r="N33" s="15"/>
      <c r="O33" s="15" t="str">
        <f>IF(AND(L33&lt;&gt;"",M33&lt;&gt;""),L33&amp;"-"&amp;M33,"")</f>
        <v/>
      </c>
      <c r="P33" s="14" t="str">
        <f>IF(AND(O33&lt;&gt;"",COUNTIF($O$2:$O$301,O33)&gt;1),"Två gäster på samma plats!","")</f>
        <v/>
      </c>
      <c r="Q33" s="15"/>
    </row>
    <row r="34" spans="1:17" x14ac:dyDescent="0.25">
      <c r="A34" s="15"/>
      <c r="B34" s="15"/>
      <c r="C34" s="15"/>
      <c r="D34" s="15"/>
      <c r="E34" s="15"/>
      <c r="F34" s="15"/>
      <c r="G34" s="15"/>
      <c r="H34" s="15"/>
      <c r="I34" s="15"/>
      <c r="J34" s="15"/>
      <c r="K34" s="15"/>
      <c r="L34" s="16"/>
      <c r="M34" s="16"/>
      <c r="N34" s="15"/>
      <c r="O34" s="15" t="str">
        <f>IF(AND(L34&lt;&gt;"",M34&lt;&gt;""),L34&amp;"-"&amp;M34,"")</f>
        <v/>
      </c>
      <c r="P34" s="14" t="str">
        <f>IF(AND(O34&lt;&gt;"",COUNTIF($O$2:$O$301,O34)&gt;1),"Två gäster på samma plats!","")</f>
        <v/>
      </c>
      <c r="Q34" s="15"/>
    </row>
    <row r="35" spans="1:17" x14ac:dyDescent="0.25">
      <c r="A35" s="15"/>
      <c r="B35" s="15"/>
      <c r="C35" s="15"/>
      <c r="D35" s="15"/>
      <c r="E35" s="15"/>
      <c r="F35" s="15"/>
      <c r="G35" s="15"/>
      <c r="H35" s="15"/>
      <c r="I35" s="15"/>
      <c r="J35" s="15"/>
      <c r="K35" s="15"/>
      <c r="L35" s="16"/>
      <c r="M35" s="16"/>
      <c r="N35" s="15"/>
      <c r="O35" s="15" t="str">
        <f>IF(AND(L35&lt;&gt;"",M35&lt;&gt;""),L35&amp;"-"&amp;M35,"")</f>
        <v/>
      </c>
      <c r="P35" s="14" t="str">
        <f>IF(AND(O35&lt;&gt;"",COUNTIF($O$2:$O$301,O35)&gt;1),"Två gäster på samma plats!","")</f>
        <v/>
      </c>
      <c r="Q35" s="15"/>
    </row>
    <row r="36" spans="1:17" x14ac:dyDescent="0.25">
      <c r="A36" s="15"/>
      <c r="B36" s="15"/>
      <c r="C36" s="15"/>
      <c r="D36" s="15"/>
      <c r="E36" s="15"/>
      <c r="F36" s="15"/>
      <c r="G36" s="15"/>
      <c r="H36" s="15"/>
      <c r="I36" s="15"/>
      <c r="J36" s="15"/>
      <c r="K36" s="15"/>
      <c r="L36" s="16"/>
      <c r="M36" s="16"/>
      <c r="N36" s="15"/>
      <c r="O36" s="15" t="str">
        <f>IF(AND(L36&lt;&gt;"",M36&lt;&gt;""),L36&amp;"-"&amp;M36,"")</f>
        <v/>
      </c>
      <c r="P36" s="14" t="str">
        <f>IF(AND(O36&lt;&gt;"",COUNTIF($O$2:$O$301,O36)&gt;1),"Två gäster på samma plats!","")</f>
        <v/>
      </c>
      <c r="Q36" s="15"/>
    </row>
    <row r="37" spans="1:17" x14ac:dyDescent="0.25">
      <c r="A37" s="15"/>
      <c r="B37" s="15"/>
      <c r="C37" s="15"/>
      <c r="D37" s="15"/>
      <c r="E37" s="15"/>
      <c r="F37" s="15"/>
      <c r="G37" s="15"/>
      <c r="H37" s="15"/>
      <c r="I37" s="15"/>
      <c r="J37" s="15"/>
      <c r="K37" s="15"/>
      <c r="L37" s="16"/>
      <c r="M37" s="16"/>
      <c r="N37" s="15"/>
      <c r="O37" s="15" t="str">
        <f>IF(AND(L37&lt;&gt;"",M37&lt;&gt;""),L37&amp;"-"&amp;M37,"")</f>
        <v/>
      </c>
      <c r="P37" s="14" t="str">
        <f>IF(AND(O37&lt;&gt;"",COUNTIF($O$2:$O$301,O37)&gt;1),"Två gäster på samma plats!","")</f>
        <v/>
      </c>
      <c r="Q37" s="15"/>
    </row>
    <row r="38" spans="1:17" x14ac:dyDescent="0.25">
      <c r="A38" s="15"/>
      <c r="B38" s="15"/>
      <c r="C38" s="15"/>
      <c r="D38" s="15"/>
      <c r="E38" s="15"/>
      <c r="F38" s="15"/>
      <c r="G38" s="15"/>
      <c r="H38" s="15"/>
      <c r="I38" s="15"/>
      <c r="J38" s="15"/>
      <c r="K38" s="15"/>
      <c r="L38" s="16"/>
      <c r="M38" s="16"/>
      <c r="N38" s="15"/>
      <c r="O38" s="15" t="str">
        <f>IF(AND(L38&lt;&gt;"",M38&lt;&gt;""),L38&amp;"-"&amp;M38,"")</f>
        <v/>
      </c>
      <c r="P38" s="14" t="str">
        <f>IF(AND(O38&lt;&gt;"",COUNTIF($O$2:$O$301,O38)&gt;1),"Två gäster på samma plats!","")</f>
        <v/>
      </c>
      <c r="Q38" s="15"/>
    </row>
    <row r="39" spans="1:17" x14ac:dyDescent="0.25">
      <c r="A39" s="15"/>
      <c r="B39" s="15"/>
      <c r="C39" s="15"/>
      <c r="D39" s="15"/>
      <c r="E39" s="15"/>
      <c r="F39" s="15"/>
      <c r="G39" s="15"/>
      <c r="H39" s="15"/>
      <c r="I39" s="15"/>
      <c r="J39" s="15"/>
      <c r="K39" s="15"/>
      <c r="L39" s="16"/>
      <c r="M39" s="16"/>
      <c r="N39" s="15"/>
      <c r="O39" s="15" t="str">
        <f>IF(AND(L39&lt;&gt;"",M39&lt;&gt;""),L39&amp;"-"&amp;M39,"")</f>
        <v/>
      </c>
      <c r="P39" s="14" t="str">
        <f>IF(AND(O39&lt;&gt;"",COUNTIF($O$2:$O$301,O39)&gt;1),"Två gäster på samma plats!","")</f>
        <v/>
      </c>
      <c r="Q39" s="15"/>
    </row>
    <row r="40" spans="1:17" x14ac:dyDescent="0.25">
      <c r="A40" s="15"/>
      <c r="B40" s="15"/>
      <c r="C40" s="15"/>
      <c r="D40" s="15"/>
      <c r="E40" s="15"/>
      <c r="F40" s="15"/>
      <c r="G40" s="15"/>
      <c r="H40" s="15"/>
      <c r="I40" s="15"/>
      <c r="J40" s="15"/>
      <c r="K40" s="15"/>
      <c r="L40" s="16"/>
      <c r="M40" s="16"/>
      <c r="N40" s="15"/>
      <c r="O40" s="15" t="str">
        <f>IF(AND(L40&lt;&gt;"",M40&lt;&gt;""),L40&amp;"-"&amp;M40,"")</f>
        <v/>
      </c>
      <c r="P40" s="14" t="str">
        <f>IF(AND(O40&lt;&gt;"",COUNTIF($O$2:$O$301,O40)&gt;1),"Två gäster på samma plats!","")</f>
        <v/>
      </c>
      <c r="Q40" s="15"/>
    </row>
    <row r="41" spans="1:17" x14ac:dyDescent="0.25">
      <c r="A41" s="15"/>
      <c r="B41" s="15"/>
      <c r="C41" s="15"/>
      <c r="D41" s="15"/>
      <c r="E41" s="15"/>
      <c r="F41" s="15"/>
      <c r="G41" s="15"/>
      <c r="H41" s="15"/>
      <c r="I41" s="15"/>
      <c r="J41" s="15"/>
      <c r="K41" s="15"/>
      <c r="L41" s="16"/>
      <c r="M41" s="16"/>
      <c r="N41" s="15"/>
      <c r="O41" s="15" t="str">
        <f>IF(AND(L41&lt;&gt;"",M41&lt;&gt;""),L41&amp;"-"&amp;M41,"")</f>
        <v/>
      </c>
      <c r="P41" s="14" t="str">
        <f>IF(AND(O41&lt;&gt;"",COUNTIF($O$2:$O$301,O41)&gt;1),"Två gäster på samma plats!","")</f>
        <v/>
      </c>
      <c r="Q41" s="15"/>
    </row>
    <row r="42" spans="1:17" x14ac:dyDescent="0.25">
      <c r="A42" s="15"/>
      <c r="B42" s="15"/>
      <c r="C42" s="15"/>
      <c r="D42" s="15"/>
      <c r="E42" s="15"/>
      <c r="F42" s="15"/>
      <c r="G42" s="15"/>
      <c r="H42" s="15"/>
      <c r="I42" s="15"/>
      <c r="J42" s="15"/>
      <c r="K42" s="15"/>
      <c r="L42" s="16"/>
      <c r="M42" s="16"/>
      <c r="N42" s="15"/>
      <c r="O42" s="15" t="str">
        <f>IF(AND(L42&lt;&gt;"",M42&lt;&gt;""),L42&amp;"-"&amp;M42,"")</f>
        <v/>
      </c>
      <c r="P42" s="14" t="str">
        <f>IF(AND(O42&lt;&gt;"",COUNTIF($O$2:$O$301,O42)&gt;1),"Två gäster på samma plats!","")</f>
        <v/>
      </c>
      <c r="Q42" s="15"/>
    </row>
    <row r="43" spans="1:17" x14ac:dyDescent="0.25">
      <c r="A43" s="15"/>
      <c r="B43" s="15"/>
      <c r="C43" s="15"/>
      <c r="D43" s="15"/>
      <c r="E43" s="15"/>
      <c r="F43" s="15"/>
      <c r="G43" s="15"/>
      <c r="H43" s="15"/>
      <c r="I43" s="15"/>
      <c r="J43" s="15"/>
      <c r="K43" s="15"/>
      <c r="L43" s="16"/>
      <c r="M43" s="16"/>
      <c r="N43" s="15"/>
      <c r="O43" s="15" t="str">
        <f>IF(AND(L43&lt;&gt;"",M43&lt;&gt;""),L43&amp;"-"&amp;M43,"")</f>
        <v/>
      </c>
      <c r="P43" s="14" t="str">
        <f>IF(AND(O43&lt;&gt;"",COUNTIF($O$2:$O$301,O43)&gt;1),"Två gäster på samma plats!","")</f>
        <v/>
      </c>
      <c r="Q43" s="15"/>
    </row>
    <row r="44" spans="1:17" x14ac:dyDescent="0.25">
      <c r="A44" s="15"/>
      <c r="B44" s="15"/>
      <c r="C44" s="15"/>
      <c r="D44" s="15"/>
      <c r="E44" s="15"/>
      <c r="F44" s="15"/>
      <c r="G44" s="15"/>
      <c r="H44" s="15"/>
      <c r="I44" s="15"/>
      <c r="J44" s="15"/>
      <c r="K44" s="15"/>
      <c r="L44" s="16"/>
      <c r="M44" s="16"/>
      <c r="N44" s="15"/>
      <c r="O44" s="15" t="str">
        <f>IF(AND(L44&lt;&gt;"",M44&lt;&gt;""),L44&amp;"-"&amp;M44,"")</f>
        <v/>
      </c>
      <c r="P44" s="14" t="str">
        <f>IF(AND(O44&lt;&gt;"",COUNTIF($O$2:$O$301,O44)&gt;1),"Två gäster på samma plats!","")</f>
        <v/>
      </c>
      <c r="Q44" s="15"/>
    </row>
    <row r="45" spans="1:17" x14ac:dyDescent="0.25">
      <c r="A45" s="15"/>
      <c r="B45" s="15"/>
      <c r="C45" s="15"/>
      <c r="D45" s="15"/>
      <c r="E45" s="15"/>
      <c r="F45" s="15"/>
      <c r="G45" s="15"/>
      <c r="H45" s="15"/>
      <c r="I45" s="15"/>
      <c r="J45" s="15"/>
      <c r="K45" s="15"/>
      <c r="L45" s="16"/>
      <c r="M45" s="16"/>
      <c r="N45" s="15"/>
      <c r="O45" s="15" t="str">
        <f>IF(AND(L45&lt;&gt;"",M45&lt;&gt;""),L45&amp;"-"&amp;M45,"")</f>
        <v/>
      </c>
      <c r="P45" s="14" t="str">
        <f>IF(AND(O45&lt;&gt;"",COUNTIF($O$2:$O$301,O45)&gt;1),"Två gäster på samma plats!","")</f>
        <v/>
      </c>
      <c r="Q45" s="15"/>
    </row>
    <row r="46" spans="1:17" x14ac:dyDescent="0.25">
      <c r="A46" s="15"/>
      <c r="B46" s="15"/>
      <c r="C46" s="15"/>
      <c r="D46" s="15"/>
      <c r="E46" s="15"/>
      <c r="F46" s="15"/>
      <c r="G46" s="15"/>
      <c r="H46" s="15"/>
      <c r="I46" s="15"/>
      <c r="J46" s="15"/>
      <c r="K46" s="15"/>
      <c r="L46" s="16"/>
      <c r="M46" s="16"/>
      <c r="N46" s="15"/>
      <c r="O46" s="15" t="str">
        <f>IF(AND(L46&lt;&gt;"",M46&lt;&gt;""),L46&amp;"-"&amp;M46,"")</f>
        <v/>
      </c>
      <c r="P46" s="14" t="str">
        <f>IF(AND(O46&lt;&gt;"",COUNTIF($O$2:$O$301,O46)&gt;1),"Två gäster på samma plats!","")</f>
        <v/>
      </c>
      <c r="Q46" s="15"/>
    </row>
    <row r="47" spans="1:17" x14ac:dyDescent="0.25">
      <c r="A47" s="15"/>
      <c r="B47" s="15"/>
      <c r="C47" s="15"/>
      <c r="D47" s="15"/>
      <c r="E47" s="15"/>
      <c r="F47" s="15"/>
      <c r="G47" s="15"/>
      <c r="H47" s="15"/>
      <c r="I47" s="15"/>
      <c r="J47" s="15"/>
      <c r="K47" s="15"/>
      <c r="L47" s="16"/>
      <c r="M47" s="16"/>
      <c r="N47" s="15"/>
      <c r="O47" s="15" t="str">
        <f>IF(AND(L47&lt;&gt;"",M47&lt;&gt;""),L47&amp;"-"&amp;M47,"")</f>
        <v/>
      </c>
      <c r="P47" s="14" t="str">
        <f>IF(AND(O47&lt;&gt;"",COUNTIF($O$2:$O$301,O47)&gt;1),"Två gäster på samma plats!","")</f>
        <v/>
      </c>
      <c r="Q47" s="15"/>
    </row>
    <row r="48" spans="1:17" x14ac:dyDescent="0.25">
      <c r="A48" s="15"/>
      <c r="B48" s="15"/>
      <c r="C48" s="15"/>
      <c r="D48" s="15"/>
      <c r="E48" s="15"/>
      <c r="F48" s="15"/>
      <c r="G48" s="15"/>
      <c r="H48" s="15"/>
      <c r="I48" s="15"/>
      <c r="J48" s="15"/>
      <c r="K48" s="15"/>
      <c r="L48" s="16"/>
      <c r="M48" s="16"/>
      <c r="N48" s="15"/>
      <c r="O48" s="15" t="str">
        <f>IF(AND(L48&lt;&gt;"",M48&lt;&gt;""),L48&amp;"-"&amp;M48,"")</f>
        <v/>
      </c>
      <c r="P48" s="14" t="str">
        <f>IF(AND(O48&lt;&gt;"",COUNTIF($O$2:$O$301,O48)&gt;1),"Två gäster på samma plats!","")</f>
        <v/>
      </c>
      <c r="Q48" s="15"/>
    </row>
    <row r="49" spans="1:17" x14ac:dyDescent="0.25">
      <c r="A49" s="15"/>
      <c r="B49" s="15"/>
      <c r="C49" s="15"/>
      <c r="D49" s="15"/>
      <c r="E49" s="15"/>
      <c r="F49" s="15"/>
      <c r="G49" s="15"/>
      <c r="H49" s="15"/>
      <c r="I49" s="15"/>
      <c r="J49" s="15"/>
      <c r="K49" s="15"/>
      <c r="L49" s="16"/>
      <c r="M49" s="16"/>
      <c r="N49" s="15"/>
      <c r="O49" s="15" t="str">
        <f>IF(AND(L49&lt;&gt;"",M49&lt;&gt;""),L49&amp;"-"&amp;M49,"")</f>
        <v/>
      </c>
      <c r="P49" s="14" t="str">
        <f>IF(AND(O49&lt;&gt;"",COUNTIF($O$2:$O$301,O49)&gt;1),"Två gäster på samma plats!","")</f>
        <v/>
      </c>
      <c r="Q49" s="15"/>
    </row>
    <row r="50" spans="1:17" x14ac:dyDescent="0.25">
      <c r="A50" s="15"/>
      <c r="B50" s="15"/>
      <c r="C50" s="15"/>
      <c r="D50" s="15"/>
      <c r="E50" s="15"/>
      <c r="F50" s="15"/>
      <c r="G50" s="15"/>
      <c r="H50" s="15"/>
      <c r="I50" s="15"/>
      <c r="J50" s="15"/>
      <c r="K50" s="15"/>
      <c r="L50" s="16"/>
      <c r="M50" s="16"/>
      <c r="N50" s="15"/>
      <c r="O50" s="15" t="str">
        <f>IF(AND(L50&lt;&gt;"",M50&lt;&gt;""),L50&amp;"-"&amp;M50,"")</f>
        <v/>
      </c>
      <c r="P50" s="14" t="str">
        <f>IF(AND(O50&lt;&gt;"",COUNTIF($O$2:$O$301,O50)&gt;1),"Två gäster på samma plats!","")</f>
        <v/>
      </c>
      <c r="Q50" s="15"/>
    </row>
    <row r="51" spans="1:17" x14ac:dyDescent="0.25">
      <c r="A51" s="15"/>
      <c r="B51" s="15"/>
      <c r="C51" s="15"/>
      <c r="D51" s="15"/>
      <c r="E51" s="15"/>
      <c r="F51" s="15"/>
      <c r="G51" s="15"/>
      <c r="H51" s="15"/>
      <c r="I51" s="15"/>
      <c r="J51" s="15"/>
      <c r="K51" s="15"/>
      <c r="L51" s="16"/>
      <c r="M51" s="16"/>
      <c r="N51" s="15"/>
      <c r="O51" s="15" t="str">
        <f>IF(AND(L51&lt;&gt;"",M51&lt;&gt;""),L51&amp;"-"&amp;M51,"")</f>
        <v/>
      </c>
      <c r="P51" s="14" t="str">
        <f>IF(AND(O51&lt;&gt;"",COUNTIF($O$2:$O$301,O51)&gt;1),"Två gäster på samma plats!","")</f>
        <v/>
      </c>
      <c r="Q51" s="15"/>
    </row>
    <row r="52" spans="1:17" x14ac:dyDescent="0.25">
      <c r="A52" s="15"/>
      <c r="B52" s="15"/>
      <c r="C52" s="15"/>
      <c r="D52" s="15"/>
      <c r="E52" s="15"/>
      <c r="F52" s="15"/>
      <c r="G52" s="15"/>
      <c r="H52" s="15"/>
      <c r="I52" s="15"/>
      <c r="J52" s="15"/>
      <c r="K52" s="15"/>
      <c r="L52" s="16"/>
      <c r="M52" s="16"/>
      <c r="N52" s="15"/>
      <c r="O52" s="15" t="str">
        <f>IF(AND(L52&lt;&gt;"",M52&lt;&gt;""),L52&amp;"-"&amp;M52,"")</f>
        <v/>
      </c>
      <c r="P52" s="14" t="str">
        <f>IF(AND(O52&lt;&gt;"",COUNTIF($O$2:$O$301,O52)&gt;1),"Två gäster på samma plats!","")</f>
        <v/>
      </c>
      <c r="Q52" s="15"/>
    </row>
    <row r="53" spans="1:17" x14ac:dyDescent="0.25">
      <c r="A53" s="15"/>
      <c r="B53" s="15"/>
      <c r="C53" s="15"/>
      <c r="D53" s="15"/>
      <c r="E53" s="15"/>
      <c r="F53" s="15"/>
      <c r="G53" s="15"/>
      <c r="H53" s="15"/>
      <c r="I53" s="15"/>
      <c r="J53" s="15"/>
      <c r="K53" s="15"/>
      <c r="L53" s="16"/>
      <c r="M53" s="16"/>
      <c r="N53" s="15"/>
      <c r="O53" s="15" t="str">
        <f>IF(AND(L53&lt;&gt;"",M53&lt;&gt;""),L53&amp;"-"&amp;M53,"")</f>
        <v/>
      </c>
      <c r="P53" s="14" t="str">
        <f>IF(AND(O53&lt;&gt;"",COUNTIF($O$2:$O$301,O53)&gt;1),"Två gäster på samma plats!","")</f>
        <v/>
      </c>
      <c r="Q53" s="15"/>
    </row>
    <row r="54" spans="1:17" x14ac:dyDescent="0.25">
      <c r="A54" s="15"/>
      <c r="B54" s="15"/>
      <c r="C54" s="15"/>
      <c r="D54" s="15"/>
      <c r="E54" s="15"/>
      <c r="F54" s="15"/>
      <c r="G54" s="15"/>
      <c r="H54" s="15"/>
      <c r="I54" s="15"/>
      <c r="J54" s="15"/>
      <c r="K54" s="15"/>
      <c r="L54" s="16"/>
      <c r="M54" s="16"/>
      <c r="N54" s="15"/>
      <c r="O54" s="15" t="str">
        <f>IF(AND(L54&lt;&gt;"",M54&lt;&gt;""),L54&amp;"-"&amp;M54,"")</f>
        <v/>
      </c>
      <c r="P54" s="14" t="str">
        <f>IF(AND(O54&lt;&gt;"",COUNTIF($O$2:$O$301,O54)&gt;1),"Två gäster på samma plats!","")</f>
        <v/>
      </c>
      <c r="Q54" s="15"/>
    </row>
    <row r="55" spans="1:17" x14ac:dyDescent="0.25">
      <c r="A55" s="15"/>
      <c r="B55" s="15"/>
      <c r="C55" s="15"/>
      <c r="D55" s="15"/>
      <c r="E55" s="15"/>
      <c r="F55" s="15"/>
      <c r="G55" s="15"/>
      <c r="H55" s="15"/>
      <c r="I55" s="15"/>
      <c r="J55" s="15"/>
      <c r="K55" s="15"/>
      <c r="L55" s="16"/>
      <c r="M55" s="16"/>
      <c r="N55" s="15"/>
      <c r="O55" s="15" t="str">
        <f>IF(AND(L55&lt;&gt;"",M55&lt;&gt;""),L55&amp;"-"&amp;M55,"")</f>
        <v/>
      </c>
      <c r="P55" s="14" t="str">
        <f>IF(AND(O55&lt;&gt;"",COUNTIF($O$2:$O$301,O55)&gt;1),"Två gäster på samma plats!","")</f>
        <v/>
      </c>
      <c r="Q55" s="15"/>
    </row>
    <row r="56" spans="1:17" x14ac:dyDescent="0.25">
      <c r="A56" s="15"/>
      <c r="B56" s="15"/>
      <c r="C56" s="15"/>
      <c r="D56" s="15"/>
      <c r="E56" s="15"/>
      <c r="F56" s="15"/>
      <c r="G56" s="15"/>
      <c r="H56" s="15"/>
      <c r="I56" s="15"/>
      <c r="J56" s="15"/>
      <c r="K56" s="15"/>
      <c r="L56" s="16"/>
      <c r="M56" s="16"/>
      <c r="N56" s="15"/>
      <c r="O56" s="15" t="str">
        <f>IF(AND(L56&lt;&gt;"",M56&lt;&gt;""),L56&amp;"-"&amp;M56,"")</f>
        <v/>
      </c>
      <c r="P56" s="14" t="str">
        <f>IF(AND(O56&lt;&gt;"",COUNTIF($O$2:$O$301,O56)&gt;1),"Två gäster på samma plats!","")</f>
        <v/>
      </c>
      <c r="Q56" s="15"/>
    </row>
    <row r="57" spans="1:17" x14ac:dyDescent="0.25">
      <c r="A57" s="15"/>
      <c r="B57" s="15"/>
      <c r="C57" s="15"/>
      <c r="D57" s="15"/>
      <c r="E57" s="15"/>
      <c r="F57" s="15"/>
      <c r="G57" s="15"/>
      <c r="H57" s="15"/>
      <c r="I57" s="15"/>
      <c r="J57" s="15"/>
      <c r="K57" s="15"/>
      <c r="L57" s="16"/>
      <c r="M57" s="16"/>
      <c r="N57" s="15"/>
      <c r="O57" s="15" t="str">
        <f>IF(AND(L57&lt;&gt;"",M57&lt;&gt;""),L57&amp;"-"&amp;M57,"")</f>
        <v/>
      </c>
      <c r="P57" s="14" t="str">
        <f>IF(AND(O57&lt;&gt;"",COUNTIF($O$2:$O$301,O57)&gt;1),"Två gäster på samma plats!","")</f>
        <v/>
      </c>
      <c r="Q57" s="15"/>
    </row>
    <row r="58" spans="1:17" x14ac:dyDescent="0.25">
      <c r="A58" s="15"/>
      <c r="B58" s="15"/>
      <c r="C58" s="15"/>
      <c r="D58" s="15"/>
      <c r="E58" s="15"/>
      <c r="F58" s="15"/>
      <c r="G58" s="15"/>
      <c r="H58" s="15"/>
      <c r="I58" s="15"/>
      <c r="J58" s="15"/>
      <c r="K58" s="15"/>
      <c r="L58" s="16"/>
      <c r="M58" s="16"/>
      <c r="N58" s="15"/>
      <c r="O58" s="15" t="str">
        <f>IF(AND(L58&lt;&gt;"",M58&lt;&gt;""),L58&amp;"-"&amp;M58,"")</f>
        <v/>
      </c>
      <c r="P58" s="14" t="str">
        <f>IF(AND(O58&lt;&gt;"",COUNTIF($O$2:$O$301,O58)&gt;1),"Två gäster på samma plats!","")</f>
        <v/>
      </c>
      <c r="Q58" s="15"/>
    </row>
    <row r="59" spans="1:17" x14ac:dyDescent="0.25">
      <c r="A59" s="15"/>
      <c r="B59" s="15"/>
      <c r="C59" s="15"/>
      <c r="D59" s="15"/>
      <c r="E59" s="15"/>
      <c r="F59" s="15"/>
      <c r="G59" s="15"/>
      <c r="H59" s="15"/>
      <c r="I59" s="15"/>
      <c r="J59" s="15"/>
      <c r="K59" s="15"/>
      <c r="L59" s="16"/>
      <c r="M59" s="16"/>
      <c r="N59" s="15"/>
      <c r="O59" s="15" t="str">
        <f>IF(AND(L59&lt;&gt;"",M59&lt;&gt;""),L59&amp;"-"&amp;M59,"")</f>
        <v/>
      </c>
      <c r="P59" s="14" t="str">
        <f>IF(AND(O59&lt;&gt;"",COUNTIF($O$2:$O$301,O59)&gt;1),"Två gäster på samma plats!","")</f>
        <v/>
      </c>
      <c r="Q59" s="15"/>
    </row>
    <row r="60" spans="1:17" x14ac:dyDescent="0.25">
      <c r="A60" s="15"/>
      <c r="B60" s="15"/>
      <c r="C60" s="15"/>
      <c r="D60" s="15"/>
      <c r="E60" s="15"/>
      <c r="F60" s="15"/>
      <c r="G60" s="15"/>
      <c r="H60" s="15"/>
      <c r="I60" s="15"/>
      <c r="J60" s="15"/>
      <c r="K60" s="15"/>
      <c r="L60" s="16"/>
      <c r="M60" s="16"/>
      <c r="N60" s="15"/>
      <c r="O60" s="15" t="str">
        <f>IF(AND(L60&lt;&gt;"",M60&lt;&gt;""),L60&amp;"-"&amp;M60,"")</f>
        <v/>
      </c>
      <c r="P60" s="14" t="str">
        <f>IF(AND(O60&lt;&gt;"",COUNTIF($O$2:$O$301,O60)&gt;1),"Två gäster på samma plats!","")</f>
        <v/>
      </c>
      <c r="Q60" s="15"/>
    </row>
    <row r="61" spans="1:17" x14ac:dyDescent="0.25">
      <c r="A61" s="15"/>
      <c r="B61" s="15"/>
      <c r="C61" s="15"/>
      <c r="D61" s="15"/>
      <c r="E61" s="15"/>
      <c r="F61" s="15"/>
      <c r="G61" s="15"/>
      <c r="H61" s="15"/>
      <c r="I61" s="15"/>
      <c r="J61" s="15"/>
      <c r="K61" s="15"/>
      <c r="L61" s="16"/>
      <c r="M61" s="16"/>
      <c r="N61" s="15"/>
      <c r="O61" s="15" t="str">
        <f>IF(AND(L61&lt;&gt;"",M61&lt;&gt;""),L61&amp;"-"&amp;M61,"")</f>
        <v/>
      </c>
      <c r="P61" s="14" t="str">
        <f>IF(AND(O61&lt;&gt;"",COUNTIF($O$2:$O$301,O61)&gt;1),"Två gäster på samma plats!","")</f>
        <v/>
      </c>
      <c r="Q61" s="15"/>
    </row>
    <row r="62" spans="1:17" x14ac:dyDescent="0.25">
      <c r="A62" s="15"/>
      <c r="B62" s="15"/>
      <c r="C62" s="15"/>
      <c r="D62" s="15"/>
      <c r="E62" s="15"/>
      <c r="F62" s="15"/>
      <c r="G62" s="15"/>
      <c r="H62" s="15"/>
      <c r="I62" s="15"/>
      <c r="J62" s="15"/>
      <c r="K62" s="15"/>
      <c r="L62" s="16"/>
      <c r="M62" s="16"/>
      <c r="N62" s="15"/>
      <c r="O62" s="15" t="str">
        <f>IF(AND(L62&lt;&gt;"",M62&lt;&gt;""),L62&amp;"-"&amp;M62,"")</f>
        <v/>
      </c>
      <c r="P62" s="14" t="str">
        <f>IF(AND(O62&lt;&gt;"",COUNTIF($O$2:$O$301,O62)&gt;1),"Två gäster på samma plats!","")</f>
        <v/>
      </c>
      <c r="Q62" s="15"/>
    </row>
    <row r="63" spans="1:17" x14ac:dyDescent="0.25">
      <c r="A63" s="15"/>
      <c r="B63" s="15"/>
      <c r="C63" s="15"/>
      <c r="D63" s="15"/>
      <c r="E63" s="15"/>
      <c r="F63" s="15"/>
      <c r="G63" s="15"/>
      <c r="H63" s="15"/>
      <c r="I63" s="15"/>
      <c r="J63" s="15"/>
      <c r="K63" s="15"/>
      <c r="L63" s="16"/>
      <c r="M63" s="16"/>
      <c r="N63" s="15"/>
      <c r="O63" s="15" t="str">
        <f>IF(AND(L63&lt;&gt;"",M63&lt;&gt;""),L63&amp;"-"&amp;M63,"")</f>
        <v/>
      </c>
      <c r="P63" s="14" t="str">
        <f>IF(AND(O63&lt;&gt;"",COUNTIF($O$2:$O$301,O63)&gt;1),"Två gäster på samma plats!","")</f>
        <v/>
      </c>
      <c r="Q63" s="15"/>
    </row>
    <row r="64" spans="1:17" x14ac:dyDescent="0.25">
      <c r="A64" s="15"/>
      <c r="B64" s="15"/>
      <c r="C64" s="15"/>
      <c r="D64" s="15"/>
      <c r="E64" s="15"/>
      <c r="F64" s="15"/>
      <c r="G64" s="15"/>
      <c r="H64" s="15"/>
      <c r="I64" s="15"/>
      <c r="J64" s="15"/>
      <c r="K64" s="15"/>
      <c r="L64" s="16"/>
      <c r="M64" s="16"/>
      <c r="N64" s="15"/>
      <c r="O64" s="15" t="str">
        <f>IF(AND(L64&lt;&gt;"",M64&lt;&gt;""),L64&amp;"-"&amp;M64,"")</f>
        <v/>
      </c>
      <c r="P64" s="14" t="str">
        <f>IF(AND(O64&lt;&gt;"",COUNTIF($O$2:$O$301,O64)&gt;1),"Två gäster på samma plats!","")</f>
        <v/>
      </c>
      <c r="Q64" s="15"/>
    </row>
    <row r="65" spans="1:17" x14ac:dyDescent="0.25">
      <c r="A65" s="15"/>
      <c r="B65" s="15"/>
      <c r="C65" s="15"/>
      <c r="D65" s="15"/>
      <c r="E65" s="15"/>
      <c r="F65" s="15"/>
      <c r="G65" s="15"/>
      <c r="H65" s="15"/>
      <c r="I65" s="15"/>
      <c r="J65" s="15"/>
      <c r="K65" s="15"/>
      <c r="L65" s="16"/>
      <c r="M65" s="16"/>
      <c r="N65" s="15"/>
      <c r="O65" s="15" t="str">
        <f>IF(AND(L65&lt;&gt;"",M65&lt;&gt;""),L65&amp;"-"&amp;M65,"")</f>
        <v/>
      </c>
      <c r="P65" s="14" t="str">
        <f>IF(AND(O65&lt;&gt;"",COUNTIF($O$2:$O$301,O65)&gt;1),"Två gäster på samma plats!","")</f>
        <v/>
      </c>
      <c r="Q65" s="15"/>
    </row>
    <row r="66" spans="1:17" x14ac:dyDescent="0.25">
      <c r="A66" s="15"/>
      <c r="B66" s="15"/>
      <c r="C66" s="15"/>
      <c r="D66" s="15"/>
      <c r="E66" s="15"/>
      <c r="F66" s="15"/>
      <c r="G66" s="15"/>
      <c r="H66" s="15"/>
      <c r="I66" s="15"/>
      <c r="J66" s="15"/>
      <c r="K66" s="15"/>
      <c r="L66" s="16"/>
      <c r="M66" s="16"/>
      <c r="N66" s="15"/>
      <c r="O66" s="15" t="str">
        <f>IF(AND(L66&lt;&gt;"",M66&lt;&gt;""),L66&amp;"-"&amp;M66,"")</f>
        <v/>
      </c>
      <c r="P66" s="14" t="str">
        <f>IF(AND(O66&lt;&gt;"",COUNTIF($O$2:$O$301,O66)&gt;1),"Två gäster på samma plats!","")</f>
        <v/>
      </c>
      <c r="Q66" s="15"/>
    </row>
    <row r="67" spans="1:17" x14ac:dyDescent="0.25">
      <c r="A67" s="15"/>
      <c r="B67" s="15"/>
      <c r="C67" s="15"/>
      <c r="D67" s="15"/>
      <c r="E67" s="15"/>
      <c r="F67" s="15"/>
      <c r="G67" s="15"/>
      <c r="H67" s="15"/>
      <c r="I67" s="15"/>
      <c r="J67" s="15"/>
      <c r="K67" s="15"/>
      <c r="L67" s="16"/>
      <c r="M67" s="16"/>
      <c r="N67" s="15"/>
      <c r="O67" s="15" t="str">
        <f>IF(AND(L67&lt;&gt;"",M67&lt;&gt;""),L67&amp;"-"&amp;M67,"")</f>
        <v/>
      </c>
      <c r="P67" s="14" t="str">
        <f>IF(AND(O67&lt;&gt;"",COUNTIF($O$2:$O$301,O67)&gt;1),"Två gäster på samma plats!","")</f>
        <v/>
      </c>
      <c r="Q67" s="15"/>
    </row>
    <row r="68" spans="1:17" x14ac:dyDescent="0.25">
      <c r="A68" s="15"/>
      <c r="B68" s="15"/>
      <c r="C68" s="15"/>
      <c r="D68" s="15"/>
      <c r="E68" s="15"/>
      <c r="F68" s="15"/>
      <c r="G68" s="15"/>
      <c r="H68" s="15"/>
      <c r="I68" s="15"/>
      <c r="J68" s="15"/>
      <c r="K68" s="15"/>
      <c r="L68" s="16"/>
      <c r="M68" s="16"/>
      <c r="N68" s="15"/>
      <c r="O68" s="15" t="str">
        <f>IF(AND(L68&lt;&gt;"",M68&lt;&gt;""),L68&amp;"-"&amp;M68,"")</f>
        <v/>
      </c>
      <c r="P68" s="14" t="str">
        <f>IF(AND(O68&lt;&gt;"",COUNTIF($O$2:$O$301,O68)&gt;1),"Två gäster på samma plats!","")</f>
        <v/>
      </c>
      <c r="Q68" s="15"/>
    </row>
    <row r="69" spans="1:17" x14ac:dyDescent="0.25">
      <c r="A69" s="15"/>
      <c r="B69" s="15"/>
      <c r="C69" s="15"/>
      <c r="D69" s="15"/>
      <c r="E69" s="15"/>
      <c r="F69" s="15"/>
      <c r="G69" s="15"/>
      <c r="H69" s="15"/>
      <c r="I69" s="15"/>
      <c r="J69" s="15"/>
      <c r="K69" s="15"/>
      <c r="L69" s="16"/>
      <c r="M69" s="16"/>
      <c r="N69" s="15"/>
      <c r="O69" s="15" t="str">
        <f>IF(AND(L69&lt;&gt;"",M69&lt;&gt;""),L69&amp;"-"&amp;M69,"")</f>
        <v/>
      </c>
      <c r="P69" s="14" t="str">
        <f>IF(AND(O69&lt;&gt;"",COUNTIF($O$2:$O$301,O69)&gt;1),"Två gäster på samma plats!","")</f>
        <v/>
      </c>
      <c r="Q69" s="15"/>
    </row>
    <row r="70" spans="1:17" x14ac:dyDescent="0.25">
      <c r="A70" s="15"/>
      <c r="B70" s="15"/>
      <c r="C70" s="15"/>
      <c r="D70" s="15"/>
      <c r="E70" s="15"/>
      <c r="F70" s="15"/>
      <c r="G70" s="15"/>
      <c r="H70" s="15"/>
      <c r="I70" s="15"/>
      <c r="J70" s="15"/>
      <c r="K70" s="15"/>
      <c r="L70" s="16"/>
      <c r="M70" s="16"/>
      <c r="N70" s="15"/>
      <c r="O70" s="15" t="str">
        <f>IF(AND(L70&lt;&gt;"",M70&lt;&gt;""),L70&amp;"-"&amp;M70,"")</f>
        <v/>
      </c>
      <c r="P70" s="14" t="str">
        <f>IF(AND(O70&lt;&gt;"",COUNTIF($O$2:$O$301,O70)&gt;1),"Två gäster på samma plats!","")</f>
        <v/>
      </c>
      <c r="Q70" s="15"/>
    </row>
    <row r="71" spans="1:17" x14ac:dyDescent="0.25">
      <c r="A71" s="15"/>
      <c r="B71" s="15"/>
      <c r="C71" s="15"/>
      <c r="D71" s="15"/>
      <c r="E71" s="15"/>
      <c r="F71" s="15"/>
      <c r="G71" s="15"/>
      <c r="H71" s="15"/>
      <c r="I71" s="15"/>
      <c r="J71" s="15"/>
      <c r="K71" s="15"/>
      <c r="L71" s="16"/>
      <c r="M71" s="16"/>
      <c r="N71" s="15"/>
      <c r="O71" s="15" t="str">
        <f>IF(AND(L71&lt;&gt;"",M71&lt;&gt;""),L71&amp;"-"&amp;M71,"")</f>
        <v/>
      </c>
      <c r="P71" s="14" t="str">
        <f>IF(AND(O71&lt;&gt;"",COUNTIF($O$2:$O$301,O71)&gt;1),"Två gäster på samma plats!","")</f>
        <v/>
      </c>
      <c r="Q71" s="15"/>
    </row>
    <row r="72" spans="1:17" x14ac:dyDescent="0.25">
      <c r="A72" s="15"/>
      <c r="B72" s="15"/>
      <c r="C72" s="15"/>
      <c r="D72" s="15"/>
      <c r="E72" s="15"/>
      <c r="F72" s="15"/>
      <c r="G72" s="15"/>
      <c r="H72" s="15"/>
      <c r="I72" s="15"/>
      <c r="J72" s="15"/>
      <c r="K72" s="15"/>
      <c r="L72" s="16"/>
      <c r="M72" s="16"/>
      <c r="N72" s="15"/>
      <c r="O72" s="15" t="str">
        <f>IF(AND(L72&lt;&gt;"",M72&lt;&gt;""),L72&amp;"-"&amp;M72,"")</f>
        <v/>
      </c>
      <c r="P72" s="14" t="str">
        <f>IF(AND(O72&lt;&gt;"",COUNTIF($O$2:$O$301,O72)&gt;1),"Två gäster på samma plats!","")</f>
        <v/>
      </c>
      <c r="Q72" s="15"/>
    </row>
    <row r="73" spans="1:17" x14ac:dyDescent="0.25">
      <c r="A73" s="15"/>
      <c r="B73" s="15"/>
      <c r="C73" s="15"/>
      <c r="D73" s="15"/>
      <c r="E73" s="15"/>
      <c r="F73" s="15"/>
      <c r="G73" s="15"/>
      <c r="H73" s="15"/>
      <c r="I73" s="15"/>
      <c r="J73" s="15"/>
      <c r="K73" s="15"/>
      <c r="L73" s="16"/>
      <c r="M73" s="16"/>
      <c r="N73" s="15"/>
      <c r="O73" s="15" t="str">
        <f>IF(AND(L73&lt;&gt;"",M73&lt;&gt;""),L73&amp;"-"&amp;M73,"")</f>
        <v/>
      </c>
      <c r="P73" s="14" t="str">
        <f>IF(AND(O73&lt;&gt;"",COUNTIF($O$2:$O$301,O73)&gt;1),"Två gäster på samma plats!","")</f>
        <v/>
      </c>
      <c r="Q73" s="15"/>
    </row>
    <row r="74" spans="1:17" x14ac:dyDescent="0.25">
      <c r="A74" s="15"/>
      <c r="B74" s="15"/>
      <c r="C74" s="15"/>
      <c r="D74" s="15"/>
      <c r="E74" s="15"/>
      <c r="F74" s="15"/>
      <c r="G74" s="15"/>
      <c r="H74" s="15"/>
      <c r="I74" s="15"/>
      <c r="J74" s="15"/>
      <c r="K74" s="15"/>
      <c r="L74" s="16"/>
      <c r="M74" s="16"/>
      <c r="N74" s="15"/>
      <c r="O74" s="15" t="str">
        <f>IF(AND(L74&lt;&gt;"",M74&lt;&gt;""),L74&amp;"-"&amp;M74,"")</f>
        <v/>
      </c>
      <c r="P74" s="14" t="str">
        <f>IF(AND(O74&lt;&gt;"",COUNTIF($O$2:$O$301,O74)&gt;1),"Två gäster på samma plats!","")</f>
        <v/>
      </c>
      <c r="Q74" s="15"/>
    </row>
    <row r="75" spans="1:17" x14ac:dyDescent="0.25">
      <c r="A75" s="15"/>
      <c r="B75" s="15"/>
      <c r="C75" s="15"/>
      <c r="D75" s="15"/>
      <c r="E75" s="15"/>
      <c r="F75" s="15"/>
      <c r="G75" s="15"/>
      <c r="H75" s="15"/>
      <c r="I75" s="15"/>
      <c r="J75" s="15"/>
      <c r="K75" s="15"/>
      <c r="L75" s="16"/>
      <c r="M75" s="16"/>
      <c r="N75" s="15"/>
      <c r="O75" s="15" t="str">
        <f>IF(AND(L75&lt;&gt;"",M75&lt;&gt;""),L75&amp;"-"&amp;M75,"")</f>
        <v/>
      </c>
      <c r="P75" s="14" t="str">
        <f>IF(AND(O75&lt;&gt;"",COUNTIF($O$2:$O$301,O75)&gt;1),"Två gäster på samma plats!","")</f>
        <v/>
      </c>
      <c r="Q75" s="15"/>
    </row>
    <row r="76" spans="1:17" x14ac:dyDescent="0.25">
      <c r="A76" s="15"/>
      <c r="B76" s="15"/>
      <c r="C76" s="15"/>
      <c r="D76" s="15"/>
      <c r="E76" s="15"/>
      <c r="F76" s="15"/>
      <c r="G76" s="15"/>
      <c r="H76" s="15"/>
      <c r="I76" s="15"/>
      <c r="J76" s="15"/>
      <c r="K76" s="15"/>
      <c r="L76" s="16"/>
      <c r="M76" s="16"/>
      <c r="N76" s="15"/>
      <c r="O76" s="15" t="str">
        <f>IF(AND(L76&lt;&gt;"",M76&lt;&gt;""),L76&amp;"-"&amp;M76,"")</f>
        <v/>
      </c>
      <c r="P76" s="14" t="str">
        <f>IF(AND(O76&lt;&gt;"",COUNTIF($O$2:$O$301,O76)&gt;1),"Två gäster på samma plats!","")</f>
        <v/>
      </c>
      <c r="Q76" s="15"/>
    </row>
    <row r="77" spans="1:17" x14ac:dyDescent="0.25">
      <c r="A77" s="15"/>
      <c r="B77" s="15"/>
      <c r="C77" s="15"/>
      <c r="D77" s="15"/>
      <c r="E77" s="15"/>
      <c r="F77" s="15"/>
      <c r="G77" s="15"/>
      <c r="H77" s="15"/>
      <c r="I77" s="15"/>
      <c r="J77" s="15"/>
      <c r="K77" s="15"/>
      <c r="L77" s="16"/>
      <c r="M77" s="16"/>
      <c r="N77" s="15"/>
      <c r="O77" s="15" t="str">
        <f>IF(AND(L77&lt;&gt;"",M77&lt;&gt;""),L77&amp;"-"&amp;M77,"")</f>
        <v/>
      </c>
      <c r="P77" s="14" t="str">
        <f>IF(AND(O77&lt;&gt;"",COUNTIF($O$2:$O$301,O77)&gt;1),"Två gäster på samma plats!","")</f>
        <v/>
      </c>
      <c r="Q77" s="15"/>
    </row>
    <row r="78" spans="1:17" x14ac:dyDescent="0.25">
      <c r="A78" s="15"/>
      <c r="B78" s="15"/>
      <c r="C78" s="15"/>
      <c r="D78" s="15"/>
      <c r="E78" s="15"/>
      <c r="F78" s="15"/>
      <c r="G78" s="15"/>
      <c r="H78" s="15"/>
      <c r="I78" s="15"/>
      <c r="J78" s="15"/>
      <c r="K78" s="15"/>
      <c r="L78" s="16"/>
      <c r="M78" s="16"/>
      <c r="N78" s="15"/>
      <c r="O78" s="15" t="str">
        <f>IF(AND(L78&lt;&gt;"",M78&lt;&gt;""),L78&amp;"-"&amp;M78,"")</f>
        <v/>
      </c>
      <c r="P78" s="14" t="str">
        <f>IF(AND(O78&lt;&gt;"",COUNTIF($O$2:$O$301,O78)&gt;1),"Två gäster på samma plats!","")</f>
        <v/>
      </c>
      <c r="Q78" s="15"/>
    </row>
    <row r="79" spans="1:17" x14ac:dyDescent="0.25">
      <c r="A79" s="15"/>
      <c r="B79" s="15"/>
      <c r="C79" s="15"/>
      <c r="D79" s="15"/>
      <c r="E79" s="15"/>
      <c r="F79" s="15"/>
      <c r="G79" s="15"/>
      <c r="H79" s="15"/>
      <c r="I79" s="15"/>
      <c r="J79" s="15"/>
      <c r="K79" s="15"/>
      <c r="L79" s="16"/>
      <c r="M79" s="16"/>
      <c r="N79" s="15"/>
      <c r="O79" s="15" t="str">
        <f>IF(AND(L79&lt;&gt;"",M79&lt;&gt;""),L79&amp;"-"&amp;M79,"")</f>
        <v/>
      </c>
      <c r="P79" s="14" t="str">
        <f>IF(AND(O79&lt;&gt;"",COUNTIF($O$2:$O$301,O79)&gt;1),"Två gäster på samma plats!","")</f>
        <v/>
      </c>
      <c r="Q79" s="15"/>
    </row>
    <row r="80" spans="1:17" x14ac:dyDescent="0.25">
      <c r="A80" s="15"/>
      <c r="B80" s="15"/>
      <c r="C80" s="15"/>
      <c r="D80" s="15"/>
      <c r="E80" s="15"/>
      <c r="F80" s="15"/>
      <c r="G80" s="15"/>
      <c r="H80" s="15"/>
      <c r="I80" s="15"/>
      <c r="J80" s="15"/>
      <c r="K80" s="15"/>
      <c r="L80" s="16"/>
      <c r="M80" s="16"/>
      <c r="N80" s="15"/>
      <c r="O80" s="15" t="str">
        <f>IF(AND(L80&lt;&gt;"",M80&lt;&gt;""),L80&amp;"-"&amp;M80,"")</f>
        <v/>
      </c>
      <c r="P80" s="14" t="str">
        <f>IF(AND(O80&lt;&gt;"",COUNTIF($O$2:$O$301,O80)&gt;1),"Två gäster på samma plats!","")</f>
        <v/>
      </c>
      <c r="Q80" s="15"/>
    </row>
    <row r="81" spans="1:17" x14ac:dyDescent="0.25">
      <c r="A81" s="15"/>
      <c r="B81" s="15"/>
      <c r="C81" s="15"/>
      <c r="D81" s="15"/>
      <c r="E81" s="15"/>
      <c r="F81" s="15"/>
      <c r="G81" s="15"/>
      <c r="H81" s="15"/>
      <c r="I81" s="15"/>
      <c r="J81" s="15"/>
      <c r="K81" s="15"/>
      <c r="L81" s="16"/>
      <c r="M81" s="16"/>
      <c r="N81" s="15"/>
      <c r="O81" s="15" t="str">
        <f>IF(AND(L81&lt;&gt;"",M81&lt;&gt;""),L81&amp;"-"&amp;M81,"")</f>
        <v/>
      </c>
      <c r="P81" s="14" t="str">
        <f>IF(AND(O81&lt;&gt;"",COUNTIF($O$2:$O$301,O81)&gt;1),"Två gäster på samma plats!","")</f>
        <v/>
      </c>
      <c r="Q81" s="15"/>
    </row>
    <row r="82" spans="1:17" x14ac:dyDescent="0.25">
      <c r="A82" s="15"/>
      <c r="B82" s="15"/>
      <c r="C82" s="15"/>
      <c r="D82" s="15"/>
      <c r="E82" s="15"/>
      <c r="F82" s="15"/>
      <c r="G82" s="15"/>
      <c r="H82" s="15"/>
      <c r="I82" s="15"/>
      <c r="J82" s="15"/>
      <c r="K82" s="15"/>
      <c r="L82" s="16"/>
      <c r="M82" s="16"/>
      <c r="N82" s="15"/>
      <c r="O82" s="15" t="str">
        <f>IF(AND(L82&lt;&gt;"",M82&lt;&gt;""),L82&amp;"-"&amp;M82,"")</f>
        <v/>
      </c>
      <c r="P82" s="14" t="str">
        <f>IF(AND(O82&lt;&gt;"",COUNTIF($O$2:$O$301,O82)&gt;1),"Två gäster på samma plats!","")</f>
        <v/>
      </c>
      <c r="Q82" s="15"/>
    </row>
    <row r="83" spans="1:17" x14ac:dyDescent="0.25">
      <c r="A83" s="15"/>
      <c r="B83" s="15"/>
      <c r="C83" s="15"/>
      <c r="D83" s="15"/>
      <c r="E83" s="15"/>
      <c r="F83" s="15"/>
      <c r="G83" s="15"/>
      <c r="H83" s="15"/>
      <c r="I83" s="15"/>
      <c r="J83" s="15"/>
      <c r="K83" s="15"/>
      <c r="L83" s="16"/>
      <c r="M83" s="16"/>
      <c r="N83" s="15"/>
      <c r="O83" s="15" t="str">
        <f>IF(AND(L83&lt;&gt;"",M83&lt;&gt;""),L83&amp;"-"&amp;M83,"")</f>
        <v/>
      </c>
      <c r="P83" s="14" t="str">
        <f>IF(AND(O83&lt;&gt;"",COUNTIF($O$2:$O$301,O83)&gt;1),"Två gäster på samma plats!","")</f>
        <v/>
      </c>
      <c r="Q83" s="15"/>
    </row>
    <row r="84" spans="1:17" x14ac:dyDescent="0.25">
      <c r="A84" s="15"/>
      <c r="B84" s="15"/>
      <c r="C84" s="15"/>
      <c r="D84" s="15"/>
      <c r="E84" s="15"/>
      <c r="F84" s="15"/>
      <c r="G84" s="15"/>
      <c r="H84" s="15"/>
      <c r="I84" s="15"/>
      <c r="J84" s="15"/>
      <c r="K84" s="15"/>
      <c r="L84" s="16"/>
      <c r="M84" s="16"/>
      <c r="N84" s="15"/>
      <c r="O84" s="15" t="str">
        <f>IF(AND(L84&lt;&gt;"",M84&lt;&gt;""),L84&amp;"-"&amp;M84,"")</f>
        <v/>
      </c>
      <c r="P84" s="14" t="str">
        <f>IF(AND(O84&lt;&gt;"",COUNTIF($O$2:$O$301,O84)&gt;1),"Två gäster på samma plats!","")</f>
        <v/>
      </c>
      <c r="Q84" s="15"/>
    </row>
    <row r="85" spans="1:17" x14ac:dyDescent="0.25">
      <c r="A85" s="15"/>
      <c r="B85" s="15"/>
      <c r="C85" s="15"/>
      <c r="D85" s="15"/>
      <c r="E85" s="15"/>
      <c r="F85" s="15"/>
      <c r="G85" s="15"/>
      <c r="H85" s="15"/>
      <c r="I85" s="15"/>
      <c r="J85" s="15"/>
      <c r="K85" s="15"/>
      <c r="L85" s="16"/>
      <c r="M85" s="16"/>
      <c r="N85" s="15"/>
      <c r="O85" s="15" t="str">
        <f>IF(AND(L85&lt;&gt;"",M85&lt;&gt;""),L85&amp;"-"&amp;M85,"")</f>
        <v/>
      </c>
      <c r="P85" s="14" t="str">
        <f>IF(AND(O85&lt;&gt;"",COUNTIF($O$2:$O$301,O85)&gt;1),"Två gäster på samma plats!","")</f>
        <v/>
      </c>
      <c r="Q85" s="15"/>
    </row>
    <row r="86" spans="1:17" x14ac:dyDescent="0.25">
      <c r="A86" s="15"/>
      <c r="B86" s="15"/>
      <c r="C86" s="15"/>
      <c r="D86" s="15"/>
      <c r="E86" s="15"/>
      <c r="F86" s="15"/>
      <c r="G86" s="15"/>
      <c r="H86" s="15"/>
      <c r="I86" s="15"/>
      <c r="J86" s="15"/>
      <c r="K86" s="15"/>
      <c r="L86" s="16"/>
      <c r="M86" s="16"/>
      <c r="N86" s="15"/>
      <c r="O86" s="15" t="str">
        <f>IF(AND(L86&lt;&gt;"",M86&lt;&gt;""),L86&amp;"-"&amp;M86,"")</f>
        <v/>
      </c>
      <c r="P86" s="14" t="str">
        <f>IF(AND(O86&lt;&gt;"",COUNTIF($O$2:$O$301,O86)&gt;1),"Två gäster på samma plats!","")</f>
        <v/>
      </c>
      <c r="Q86" s="15"/>
    </row>
    <row r="87" spans="1:17" x14ac:dyDescent="0.25">
      <c r="A87" s="15"/>
      <c r="B87" s="15"/>
      <c r="C87" s="15"/>
      <c r="D87" s="15"/>
      <c r="E87" s="15"/>
      <c r="F87" s="15"/>
      <c r="G87" s="15"/>
      <c r="H87" s="15"/>
      <c r="I87" s="15"/>
      <c r="J87" s="15"/>
      <c r="K87" s="15"/>
      <c r="L87" s="16"/>
      <c r="M87" s="16"/>
      <c r="N87" s="15"/>
      <c r="O87" s="15" t="str">
        <f>IF(AND(L87&lt;&gt;"",M87&lt;&gt;""),L87&amp;"-"&amp;M87,"")</f>
        <v/>
      </c>
      <c r="P87" s="14" t="str">
        <f>IF(AND(O87&lt;&gt;"",COUNTIF($O$2:$O$301,O87)&gt;1),"Två gäster på samma plats!","")</f>
        <v/>
      </c>
      <c r="Q87" s="15"/>
    </row>
    <row r="88" spans="1:17" x14ac:dyDescent="0.25">
      <c r="A88" s="15"/>
      <c r="B88" s="15"/>
      <c r="C88" s="15"/>
      <c r="D88" s="15"/>
      <c r="E88" s="15"/>
      <c r="F88" s="15"/>
      <c r="G88" s="15"/>
      <c r="H88" s="15"/>
      <c r="I88" s="15"/>
      <c r="J88" s="15"/>
      <c r="K88" s="15"/>
      <c r="L88" s="16"/>
      <c r="M88" s="16"/>
      <c r="N88" s="15"/>
      <c r="O88" s="15" t="str">
        <f>IF(AND(L88&lt;&gt;"",M88&lt;&gt;""),L88&amp;"-"&amp;M88,"")</f>
        <v/>
      </c>
      <c r="P88" s="14" t="str">
        <f>IF(AND(O88&lt;&gt;"",COUNTIF($O$2:$O$301,O88)&gt;1),"Två gäster på samma plats!","")</f>
        <v/>
      </c>
      <c r="Q88" s="15"/>
    </row>
    <row r="89" spans="1:17" x14ac:dyDescent="0.25">
      <c r="A89" s="15"/>
      <c r="B89" s="15"/>
      <c r="C89" s="15"/>
      <c r="D89" s="15"/>
      <c r="E89" s="15"/>
      <c r="F89" s="15"/>
      <c r="G89" s="15"/>
      <c r="H89" s="15"/>
      <c r="I89" s="15"/>
      <c r="J89" s="15"/>
      <c r="K89" s="15"/>
      <c r="L89" s="16"/>
      <c r="M89" s="16"/>
      <c r="N89" s="15"/>
      <c r="O89" s="15" t="str">
        <f>IF(AND(L89&lt;&gt;"",M89&lt;&gt;""),L89&amp;"-"&amp;M89,"")</f>
        <v/>
      </c>
      <c r="P89" s="14" t="str">
        <f>IF(AND(O89&lt;&gt;"",COUNTIF($O$2:$O$301,O89)&gt;1),"Två gäster på samma plats!","")</f>
        <v/>
      </c>
      <c r="Q89" s="15"/>
    </row>
    <row r="90" spans="1:17" x14ac:dyDescent="0.25">
      <c r="A90" s="15"/>
      <c r="B90" s="15"/>
      <c r="C90" s="15"/>
      <c r="D90" s="15"/>
      <c r="E90" s="15"/>
      <c r="F90" s="15"/>
      <c r="G90" s="15"/>
      <c r="H90" s="15"/>
      <c r="I90" s="15"/>
      <c r="J90" s="15"/>
      <c r="K90" s="15"/>
      <c r="L90" s="16"/>
      <c r="M90" s="16"/>
      <c r="N90" s="15"/>
      <c r="O90" s="15" t="str">
        <f>IF(AND(L90&lt;&gt;"",M90&lt;&gt;""),L90&amp;"-"&amp;M90,"")</f>
        <v/>
      </c>
      <c r="P90" s="14" t="str">
        <f>IF(AND(O90&lt;&gt;"",COUNTIF($O$2:$O$301,O90)&gt;1),"Två gäster på samma plats!","")</f>
        <v/>
      </c>
      <c r="Q90" s="15"/>
    </row>
    <row r="91" spans="1:17" x14ac:dyDescent="0.25">
      <c r="A91" s="15"/>
      <c r="B91" s="15"/>
      <c r="C91" s="15"/>
      <c r="D91" s="15"/>
      <c r="E91" s="15"/>
      <c r="F91" s="15"/>
      <c r="G91" s="15"/>
      <c r="H91" s="15"/>
      <c r="I91" s="15"/>
      <c r="J91" s="15"/>
      <c r="K91" s="15"/>
      <c r="L91" s="16"/>
      <c r="M91" s="16"/>
      <c r="N91" s="15"/>
      <c r="O91" s="15" t="str">
        <f>IF(AND(L91&lt;&gt;"",M91&lt;&gt;""),L91&amp;"-"&amp;M91,"")</f>
        <v/>
      </c>
      <c r="P91" s="14" t="str">
        <f>IF(AND(O91&lt;&gt;"",COUNTIF($O$2:$O$301,O91)&gt;1),"Två gäster på samma plats!","")</f>
        <v/>
      </c>
      <c r="Q91" s="15"/>
    </row>
    <row r="92" spans="1:17" x14ac:dyDescent="0.25">
      <c r="A92" s="15"/>
      <c r="B92" s="15"/>
      <c r="C92" s="15"/>
      <c r="D92" s="15"/>
      <c r="E92" s="15"/>
      <c r="F92" s="15"/>
      <c r="G92" s="15"/>
      <c r="H92" s="15"/>
      <c r="I92" s="15"/>
      <c r="J92" s="15"/>
      <c r="K92" s="15"/>
      <c r="L92" s="16"/>
      <c r="M92" s="16"/>
      <c r="N92" s="15"/>
      <c r="O92" s="15" t="str">
        <f>IF(AND(L92&lt;&gt;"",M92&lt;&gt;""),L92&amp;"-"&amp;M92,"")</f>
        <v/>
      </c>
      <c r="P92" s="14" t="str">
        <f>IF(AND(O92&lt;&gt;"",COUNTIF($O$2:$O$301,O92)&gt;1),"Två gäster på samma plats!","")</f>
        <v/>
      </c>
      <c r="Q92" s="15"/>
    </row>
    <row r="93" spans="1:17" x14ac:dyDescent="0.25">
      <c r="A93" s="15"/>
      <c r="B93" s="15"/>
      <c r="C93" s="15"/>
      <c r="D93" s="15"/>
      <c r="E93" s="15"/>
      <c r="F93" s="15"/>
      <c r="G93" s="15"/>
      <c r="H93" s="15"/>
      <c r="I93" s="15"/>
      <c r="J93" s="15"/>
      <c r="K93" s="15"/>
      <c r="L93" s="16"/>
      <c r="M93" s="16"/>
      <c r="N93" s="15"/>
      <c r="O93" s="15" t="str">
        <f>IF(AND(L93&lt;&gt;"",M93&lt;&gt;""),L93&amp;"-"&amp;M93,"")</f>
        <v/>
      </c>
      <c r="P93" s="14" t="str">
        <f>IF(AND(O93&lt;&gt;"",COUNTIF($O$2:$O$301,O93)&gt;1),"Två gäster på samma plats!","")</f>
        <v/>
      </c>
      <c r="Q93" s="15"/>
    </row>
    <row r="94" spans="1:17" x14ac:dyDescent="0.25">
      <c r="A94" s="15"/>
      <c r="B94" s="15"/>
      <c r="C94" s="15"/>
      <c r="D94" s="15"/>
      <c r="E94" s="15"/>
      <c r="F94" s="15"/>
      <c r="G94" s="15"/>
      <c r="H94" s="15"/>
      <c r="I94" s="15"/>
      <c r="J94" s="15"/>
      <c r="K94" s="15"/>
      <c r="L94" s="16"/>
      <c r="M94" s="16"/>
      <c r="N94" s="15"/>
      <c r="O94" s="15" t="str">
        <f>IF(AND(L94&lt;&gt;"",M94&lt;&gt;""),L94&amp;"-"&amp;M94,"")</f>
        <v/>
      </c>
      <c r="P94" s="14" t="str">
        <f>IF(AND(O94&lt;&gt;"",COUNTIF($O$2:$O$301,O94)&gt;1),"Två gäster på samma plats!","")</f>
        <v/>
      </c>
      <c r="Q94" s="15"/>
    </row>
    <row r="95" spans="1:17" x14ac:dyDescent="0.25">
      <c r="A95" s="15"/>
      <c r="B95" s="15"/>
      <c r="C95" s="15"/>
      <c r="D95" s="15"/>
      <c r="E95" s="15"/>
      <c r="F95" s="15"/>
      <c r="G95" s="15"/>
      <c r="H95" s="15"/>
      <c r="I95" s="15"/>
      <c r="J95" s="15"/>
      <c r="K95" s="15"/>
      <c r="L95" s="16"/>
      <c r="M95" s="16"/>
      <c r="N95" s="15"/>
      <c r="O95" s="15" t="str">
        <f>IF(AND(L95&lt;&gt;"",M95&lt;&gt;""),L95&amp;"-"&amp;M95,"")</f>
        <v/>
      </c>
      <c r="P95" s="14" t="str">
        <f>IF(AND(O95&lt;&gt;"",COUNTIF($O$2:$O$301,O95)&gt;1),"Två gäster på samma plats!","")</f>
        <v/>
      </c>
      <c r="Q95" s="15"/>
    </row>
    <row r="96" spans="1:17" x14ac:dyDescent="0.25">
      <c r="A96" s="15"/>
      <c r="B96" s="15"/>
      <c r="C96" s="15"/>
      <c r="D96" s="15"/>
      <c r="E96" s="15"/>
      <c r="F96" s="15"/>
      <c r="G96" s="15"/>
      <c r="H96" s="15"/>
      <c r="I96" s="15"/>
      <c r="J96" s="15"/>
      <c r="K96" s="15"/>
      <c r="L96" s="16"/>
      <c r="M96" s="16"/>
      <c r="N96" s="15"/>
      <c r="O96" s="15" t="str">
        <f>IF(AND(L96&lt;&gt;"",M96&lt;&gt;""),L96&amp;"-"&amp;M96,"")</f>
        <v/>
      </c>
      <c r="P96" s="14" t="str">
        <f>IF(AND(O96&lt;&gt;"",COUNTIF($O$2:$O$301,O96)&gt;1),"Två gäster på samma plats!","")</f>
        <v/>
      </c>
      <c r="Q96" s="15"/>
    </row>
    <row r="97" spans="1:17" x14ac:dyDescent="0.25">
      <c r="A97" s="15"/>
      <c r="B97" s="15"/>
      <c r="C97" s="15"/>
      <c r="D97" s="15"/>
      <c r="E97" s="15"/>
      <c r="F97" s="15"/>
      <c r="G97" s="15"/>
      <c r="H97" s="15"/>
      <c r="I97" s="15"/>
      <c r="J97" s="15"/>
      <c r="K97" s="15"/>
      <c r="L97" s="16"/>
      <c r="M97" s="16"/>
      <c r="N97" s="15"/>
      <c r="O97" s="15" t="str">
        <f>IF(AND(L97&lt;&gt;"",M97&lt;&gt;""),L97&amp;"-"&amp;M97,"")</f>
        <v/>
      </c>
      <c r="P97" s="14" t="str">
        <f>IF(AND(O97&lt;&gt;"",COUNTIF($O$2:$O$301,O97)&gt;1),"Två gäster på samma plats!","")</f>
        <v/>
      </c>
      <c r="Q97" s="15"/>
    </row>
    <row r="98" spans="1:17" x14ac:dyDescent="0.25">
      <c r="A98" s="15"/>
      <c r="B98" s="15"/>
      <c r="C98" s="15"/>
      <c r="D98" s="15"/>
      <c r="E98" s="15"/>
      <c r="F98" s="15"/>
      <c r="G98" s="15"/>
      <c r="H98" s="15"/>
      <c r="I98" s="15"/>
      <c r="J98" s="15"/>
      <c r="K98" s="15"/>
      <c r="L98" s="16"/>
      <c r="M98" s="16"/>
      <c r="N98" s="15"/>
      <c r="O98" s="15" t="str">
        <f>IF(AND(L98&lt;&gt;"",M98&lt;&gt;""),L98&amp;"-"&amp;M98,"")</f>
        <v/>
      </c>
      <c r="P98" s="14" t="str">
        <f>IF(AND(O98&lt;&gt;"",COUNTIF($O$2:$O$301,O98)&gt;1),"Två gäster på samma plats!","")</f>
        <v/>
      </c>
      <c r="Q98" s="15"/>
    </row>
    <row r="99" spans="1:17" x14ac:dyDescent="0.25">
      <c r="A99" s="15"/>
      <c r="B99" s="15"/>
      <c r="C99" s="15"/>
      <c r="D99" s="15"/>
      <c r="E99" s="15"/>
      <c r="F99" s="15"/>
      <c r="G99" s="15"/>
      <c r="H99" s="15"/>
      <c r="I99" s="15"/>
      <c r="J99" s="15"/>
      <c r="K99" s="15"/>
      <c r="L99" s="16"/>
      <c r="M99" s="16"/>
      <c r="N99" s="15"/>
      <c r="O99" s="15" t="str">
        <f>IF(AND(L99&lt;&gt;"",M99&lt;&gt;""),L99&amp;"-"&amp;M99,"")</f>
        <v/>
      </c>
      <c r="P99" s="14" t="str">
        <f>IF(AND(O99&lt;&gt;"",COUNTIF($O$2:$O$301,O99)&gt;1),"Två gäster på samma plats!","")</f>
        <v/>
      </c>
      <c r="Q99" s="15"/>
    </row>
    <row r="100" spans="1:17" x14ac:dyDescent="0.25">
      <c r="A100" s="15"/>
      <c r="B100" s="15"/>
      <c r="C100" s="15"/>
      <c r="D100" s="15"/>
      <c r="E100" s="15"/>
      <c r="F100" s="15"/>
      <c r="G100" s="15"/>
      <c r="H100" s="15"/>
      <c r="I100" s="15"/>
      <c r="J100" s="15"/>
      <c r="K100" s="15"/>
      <c r="L100" s="16"/>
      <c r="M100" s="16"/>
      <c r="N100" s="15"/>
      <c r="O100" s="15" t="str">
        <f>IF(AND(L100&lt;&gt;"",M100&lt;&gt;""),L100&amp;"-"&amp;M100,"")</f>
        <v/>
      </c>
      <c r="P100" s="14" t="str">
        <f>IF(AND(O100&lt;&gt;"",COUNTIF($O$2:$O$301,O100)&gt;1),"Två gäster på samma plats!","")</f>
        <v/>
      </c>
      <c r="Q100" s="15"/>
    </row>
    <row r="101" spans="1:17" x14ac:dyDescent="0.25">
      <c r="A101" s="15"/>
      <c r="B101" s="15"/>
      <c r="C101" s="15"/>
      <c r="D101" s="15"/>
      <c r="E101" s="15"/>
      <c r="F101" s="15"/>
      <c r="G101" s="15"/>
      <c r="H101" s="15"/>
      <c r="I101" s="15"/>
      <c r="J101" s="15"/>
      <c r="K101" s="15"/>
      <c r="L101" s="16"/>
      <c r="M101" s="16"/>
      <c r="N101" s="15"/>
      <c r="O101" s="15" t="str">
        <f>IF(AND(L101&lt;&gt;"",M101&lt;&gt;""),L101&amp;"-"&amp;M101,"")</f>
        <v/>
      </c>
      <c r="P101" s="14" t="str">
        <f>IF(AND(O101&lt;&gt;"",COUNTIF($O$2:$O$301,O101)&gt;1),"Två gäster på samma plats!","")</f>
        <v/>
      </c>
      <c r="Q101" s="15"/>
    </row>
    <row r="102" spans="1:17" x14ac:dyDescent="0.25">
      <c r="A102" s="15"/>
      <c r="B102" s="15"/>
      <c r="C102" s="15"/>
      <c r="D102" s="15"/>
      <c r="E102" s="15"/>
      <c r="F102" s="15"/>
      <c r="G102" s="15"/>
      <c r="H102" s="15"/>
      <c r="I102" s="15"/>
      <c r="J102" s="15"/>
      <c r="K102" s="15"/>
      <c r="L102" s="16"/>
      <c r="M102" s="16"/>
      <c r="N102" s="15"/>
      <c r="O102" s="15" t="str">
        <f>IF(AND(L102&lt;&gt;"",M102&lt;&gt;""),L102&amp;"-"&amp;M102,"")</f>
        <v/>
      </c>
      <c r="P102" s="14" t="str">
        <f>IF(AND(O102&lt;&gt;"",COUNTIF($O$2:$O$301,O102)&gt;1),"Två gäster på samma plats!","")</f>
        <v/>
      </c>
      <c r="Q102" s="15"/>
    </row>
    <row r="103" spans="1:17" x14ac:dyDescent="0.25">
      <c r="A103" s="15"/>
      <c r="B103" s="15"/>
      <c r="C103" s="15"/>
      <c r="D103" s="15"/>
      <c r="E103" s="15"/>
      <c r="F103" s="15"/>
      <c r="G103" s="15"/>
      <c r="H103" s="15"/>
      <c r="I103" s="15"/>
      <c r="J103" s="15"/>
      <c r="K103" s="15"/>
      <c r="L103" s="16"/>
      <c r="M103" s="16"/>
      <c r="N103" s="15"/>
      <c r="O103" s="15" t="str">
        <f>IF(AND(L103&lt;&gt;"",M103&lt;&gt;""),L103&amp;"-"&amp;M103,"")</f>
        <v/>
      </c>
      <c r="P103" s="14" t="str">
        <f>IF(AND(O103&lt;&gt;"",COUNTIF($O$2:$O$301,O103)&gt;1),"Två gäster på samma plats!","")</f>
        <v/>
      </c>
      <c r="Q103" s="15"/>
    </row>
    <row r="104" spans="1:17" x14ac:dyDescent="0.25">
      <c r="A104" s="15"/>
      <c r="B104" s="15"/>
      <c r="C104" s="15"/>
      <c r="D104" s="15"/>
      <c r="E104" s="15"/>
      <c r="F104" s="15"/>
      <c r="G104" s="15"/>
      <c r="H104" s="15"/>
      <c r="I104" s="15"/>
      <c r="J104" s="15"/>
      <c r="K104" s="15"/>
      <c r="L104" s="16"/>
      <c r="M104" s="16"/>
      <c r="N104" s="15"/>
      <c r="O104" s="15" t="str">
        <f>IF(AND(L104&lt;&gt;"",M104&lt;&gt;""),L104&amp;"-"&amp;M104,"")</f>
        <v/>
      </c>
      <c r="P104" s="14" t="str">
        <f>IF(AND(O104&lt;&gt;"",COUNTIF($O$2:$O$301,O104)&gt;1),"Två gäster på samma plats!","")</f>
        <v/>
      </c>
      <c r="Q104" s="15"/>
    </row>
    <row r="105" spans="1:17" x14ac:dyDescent="0.25">
      <c r="A105" s="15"/>
      <c r="B105" s="15"/>
      <c r="C105" s="15"/>
      <c r="D105" s="15"/>
      <c r="E105" s="15"/>
      <c r="F105" s="15"/>
      <c r="G105" s="15"/>
      <c r="H105" s="15"/>
      <c r="I105" s="15"/>
      <c r="J105" s="15"/>
      <c r="K105" s="15"/>
      <c r="L105" s="16"/>
      <c r="M105" s="16"/>
      <c r="N105" s="15"/>
      <c r="O105" s="15" t="str">
        <f>IF(AND(L105&lt;&gt;"",M105&lt;&gt;""),L105&amp;"-"&amp;M105,"")</f>
        <v/>
      </c>
      <c r="P105" s="14" t="str">
        <f>IF(AND(O105&lt;&gt;"",COUNTIF($O$2:$O$301,O105)&gt;1),"Två gäster på samma plats!","")</f>
        <v/>
      </c>
      <c r="Q105" s="15"/>
    </row>
    <row r="106" spans="1:17" x14ac:dyDescent="0.25">
      <c r="A106" s="15"/>
      <c r="B106" s="15"/>
      <c r="C106" s="15"/>
      <c r="D106" s="15"/>
      <c r="E106" s="15"/>
      <c r="F106" s="15"/>
      <c r="G106" s="15"/>
      <c r="H106" s="15"/>
      <c r="I106" s="15"/>
      <c r="J106" s="15"/>
      <c r="K106" s="15"/>
      <c r="L106" s="16"/>
      <c r="M106" s="16"/>
      <c r="N106" s="15"/>
      <c r="O106" s="15" t="str">
        <f>IF(AND(L106&lt;&gt;"",M106&lt;&gt;""),L106&amp;"-"&amp;M106,"")</f>
        <v/>
      </c>
      <c r="P106" s="14" t="str">
        <f>IF(AND(O106&lt;&gt;"",COUNTIF($O$2:$O$301,O106)&gt;1),"Två gäster på samma plats!","")</f>
        <v/>
      </c>
      <c r="Q106" s="15"/>
    </row>
    <row r="107" spans="1:17" x14ac:dyDescent="0.25">
      <c r="A107" s="15"/>
      <c r="B107" s="15"/>
      <c r="C107" s="15"/>
      <c r="D107" s="15"/>
      <c r="E107" s="15"/>
      <c r="F107" s="15"/>
      <c r="G107" s="15"/>
      <c r="H107" s="15"/>
      <c r="I107" s="15"/>
      <c r="J107" s="15"/>
      <c r="K107" s="15"/>
      <c r="L107" s="16"/>
      <c r="M107" s="16"/>
      <c r="N107" s="15"/>
      <c r="O107" s="15" t="str">
        <f>IF(AND(L107&lt;&gt;"",M107&lt;&gt;""),L107&amp;"-"&amp;M107,"")</f>
        <v/>
      </c>
      <c r="P107" s="14" t="str">
        <f>IF(AND(O107&lt;&gt;"",COUNTIF($O$2:$O$301,O107)&gt;1),"Två gäster på samma plats!","")</f>
        <v/>
      </c>
      <c r="Q107" s="15"/>
    </row>
    <row r="108" spans="1:17" x14ac:dyDescent="0.25">
      <c r="A108" s="15"/>
      <c r="B108" s="15"/>
      <c r="C108" s="15"/>
      <c r="D108" s="15"/>
      <c r="E108" s="15"/>
      <c r="F108" s="15"/>
      <c r="G108" s="15"/>
      <c r="H108" s="15"/>
      <c r="I108" s="15"/>
      <c r="J108" s="15"/>
      <c r="K108" s="15"/>
      <c r="L108" s="16"/>
      <c r="M108" s="16"/>
      <c r="N108" s="15"/>
      <c r="O108" s="15" t="str">
        <f>IF(AND(L108&lt;&gt;"",M108&lt;&gt;""),L108&amp;"-"&amp;M108,"")</f>
        <v/>
      </c>
      <c r="P108" s="14" t="str">
        <f>IF(AND(O108&lt;&gt;"",COUNTIF($O$2:$O$301,O108)&gt;1),"Två gäster på samma plats!","")</f>
        <v/>
      </c>
      <c r="Q108" s="15"/>
    </row>
    <row r="109" spans="1:17" x14ac:dyDescent="0.25">
      <c r="A109" s="15"/>
      <c r="B109" s="15"/>
      <c r="C109" s="15"/>
      <c r="D109" s="15"/>
      <c r="E109" s="15"/>
      <c r="F109" s="15"/>
      <c r="G109" s="15"/>
      <c r="H109" s="15"/>
      <c r="I109" s="15"/>
      <c r="J109" s="15"/>
      <c r="K109" s="15"/>
      <c r="L109" s="16"/>
      <c r="M109" s="16"/>
      <c r="N109" s="15"/>
      <c r="O109" s="15" t="str">
        <f>IF(AND(L109&lt;&gt;"",M109&lt;&gt;""),L109&amp;"-"&amp;M109,"")</f>
        <v/>
      </c>
      <c r="P109" s="14" t="str">
        <f>IF(AND(O109&lt;&gt;"",COUNTIF($O$2:$O$301,O109)&gt;1),"Två gäster på samma plats!","")</f>
        <v/>
      </c>
      <c r="Q109" s="15"/>
    </row>
    <row r="110" spans="1:17" x14ac:dyDescent="0.25">
      <c r="A110" s="15"/>
      <c r="B110" s="15"/>
      <c r="C110" s="15"/>
      <c r="D110" s="15"/>
      <c r="E110" s="15"/>
      <c r="F110" s="15"/>
      <c r="G110" s="15"/>
      <c r="H110" s="15"/>
      <c r="I110" s="15"/>
      <c r="J110" s="15"/>
      <c r="K110" s="15"/>
      <c r="L110" s="16"/>
      <c r="M110" s="16"/>
      <c r="N110" s="15"/>
      <c r="O110" s="15" t="str">
        <f>IF(AND(L110&lt;&gt;"",M110&lt;&gt;""),L110&amp;"-"&amp;M110,"")</f>
        <v/>
      </c>
      <c r="P110" s="14" t="str">
        <f>IF(AND(O110&lt;&gt;"",COUNTIF($O$2:$O$301,O110)&gt;1),"Två gäster på samma plats!","")</f>
        <v/>
      </c>
      <c r="Q110" s="15"/>
    </row>
    <row r="111" spans="1:17" x14ac:dyDescent="0.25">
      <c r="A111" s="15"/>
      <c r="B111" s="15"/>
      <c r="C111" s="15"/>
      <c r="D111" s="15"/>
      <c r="E111" s="15"/>
      <c r="F111" s="15"/>
      <c r="G111" s="15"/>
      <c r="H111" s="15"/>
      <c r="I111" s="15"/>
      <c r="J111" s="15"/>
      <c r="K111" s="15"/>
      <c r="L111" s="16"/>
      <c r="M111" s="16"/>
      <c r="N111" s="15"/>
      <c r="O111" s="15" t="str">
        <f>IF(AND(L111&lt;&gt;"",M111&lt;&gt;""),L111&amp;"-"&amp;M111,"")</f>
        <v/>
      </c>
      <c r="P111" s="14" t="str">
        <f>IF(AND(O111&lt;&gt;"",COUNTIF($O$2:$O$301,O111)&gt;1),"Två gäster på samma plats!","")</f>
        <v/>
      </c>
      <c r="Q111" s="15"/>
    </row>
    <row r="112" spans="1:17" x14ac:dyDescent="0.25">
      <c r="A112" s="15"/>
      <c r="B112" s="15"/>
      <c r="C112" s="15"/>
      <c r="D112" s="15"/>
      <c r="E112" s="15"/>
      <c r="F112" s="15"/>
      <c r="G112" s="15"/>
      <c r="H112" s="15"/>
      <c r="I112" s="15"/>
      <c r="J112" s="15"/>
      <c r="K112" s="15"/>
      <c r="L112" s="16"/>
      <c r="M112" s="16"/>
      <c r="N112" s="15"/>
      <c r="O112" s="15" t="str">
        <f>IF(AND(L112&lt;&gt;"",M112&lt;&gt;""),L112&amp;"-"&amp;M112,"")</f>
        <v/>
      </c>
      <c r="P112" s="14" t="str">
        <f>IF(AND(O112&lt;&gt;"",COUNTIF($O$2:$O$301,O112)&gt;1),"Två gäster på samma plats!","")</f>
        <v/>
      </c>
      <c r="Q112" s="15"/>
    </row>
    <row r="113" spans="1:17" x14ac:dyDescent="0.25">
      <c r="A113" s="15"/>
      <c r="B113" s="15"/>
      <c r="C113" s="15"/>
      <c r="D113" s="15"/>
      <c r="E113" s="15"/>
      <c r="F113" s="15"/>
      <c r="G113" s="15"/>
      <c r="H113" s="15"/>
      <c r="I113" s="15"/>
      <c r="J113" s="15"/>
      <c r="K113" s="15"/>
      <c r="L113" s="16"/>
      <c r="M113" s="16"/>
      <c r="N113" s="15"/>
      <c r="O113" s="15" t="str">
        <f>IF(AND(L113&lt;&gt;"",M113&lt;&gt;""),L113&amp;"-"&amp;M113,"")</f>
        <v/>
      </c>
      <c r="P113" s="14" t="str">
        <f>IF(AND(O113&lt;&gt;"",COUNTIF($O$2:$O$301,O113)&gt;1),"Två gäster på samma plats!","")</f>
        <v/>
      </c>
      <c r="Q113" s="15"/>
    </row>
    <row r="114" spans="1:17" x14ac:dyDescent="0.25">
      <c r="A114" s="15"/>
      <c r="B114" s="15"/>
      <c r="C114" s="15"/>
      <c r="D114" s="15"/>
      <c r="E114" s="15"/>
      <c r="F114" s="15"/>
      <c r="G114" s="15"/>
      <c r="H114" s="15"/>
      <c r="I114" s="15"/>
      <c r="J114" s="15"/>
      <c r="K114" s="15"/>
      <c r="L114" s="16"/>
      <c r="M114" s="16"/>
      <c r="N114" s="15"/>
      <c r="O114" s="15" t="str">
        <f>IF(AND(L114&lt;&gt;"",M114&lt;&gt;""),L114&amp;"-"&amp;M114,"")</f>
        <v/>
      </c>
      <c r="P114" s="14" t="str">
        <f>IF(AND(O114&lt;&gt;"",COUNTIF($O$2:$O$301,O114)&gt;1),"Två gäster på samma plats!","")</f>
        <v/>
      </c>
      <c r="Q114" s="15"/>
    </row>
    <row r="115" spans="1:17" x14ac:dyDescent="0.25">
      <c r="A115" s="15"/>
      <c r="B115" s="15"/>
      <c r="C115" s="15"/>
      <c r="D115" s="15"/>
      <c r="E115" s="15"/>
      <c r="F115" s="15"/>
      <c r="G115" s="15"/>
      <c r="H115" s="15"/>
      <c r="I115" s="15"/>
      <c r="J115" s="15"/>
      <c r="K115" s="15"/>
      <c r="L115" s="16"/>
      <c r="M115" s="16"/>
      <c r="N115" s="15"/>
      <c r="O115" s="15" t="str">
        <f>IF(AND(L115&lt;&gt;"",M115&lt;&gt;""),L115&amp;"-"&amp;M115,"")</f>
        <v/>
      </c>
      <c r="P115" s="14" t="str">
        <f>IF(AND(O115&lt;&gt;"",COUNTIF($O$2:$O$301,O115)&gt;1),"Två gäster på samma plats!","")</f>
        <v/>
      </c>
      <c r="Q115" s="15"/>
    </row>
    <row r="116" spans="1:17" x14ac:dyDescent="0.25">
      <c r="A116" s="15"/>
      <c r="B116" s="15"/>
      <c r="C116" s="15"/>
      <c r="D116" s="15"/>
      <c r="E116" s="15"/>
      <c r="F116" s="15"/>
      <c r="G116" s="15"/>
      <c r="H116" s="15"/>
      <c r="I116" s="15"/>
      <c r="J116" s="15"/>
      <c r="K116" s="15"/>
      <c r="L116" s="16"/>
      <c r="M116" s="16"/>
      <c r="N116" s="15"/>
      <c r="O116" s="15" t="str">
        <f>IF(AND(L116&lt;&gt;"",M116&lt;&gt;""),L116&amp;"-"&amp;M116,"")</f>
        <v/>
      </c>
      <c r="P116" s="14" t="str">
        <f>IF(AND(O116&lt;&gt;"",COUNTIF($O$2:$O$301,O116)&gt;1),"Två gäster på samma plats!","")</f>
        <v/>
      </c>
      <c r="Q116" s="15"/>
    </row>
    <row r="117" spans="1:17" x14ac:dyDescent="0.25">
      <c r="A117" s="15"/>
      <c r="B117" s="15"/>
      <c r="C117" s="15"/>
      <c r="D117" s="15"/>
      <c r="E117" s="15"/>
      <c r="F117" s="15"/>
      <c r="G117" s="15"/>
      <c r="H117" s="15"/>
      <c r="I117" s="15"/>
      <c r="J117" s="15"/>
      <c r="K117" s="15"/>
      <c r="L117" s="16"/>
      <c r="M117" s="16"/>
      <c r="N117" s="15"/>
      <c r="O117" s="15" t="str">
        <f>IF(AND(L117&lt;&gt;"",M117&lt;&gt;""),L117&amp;"-"&amp;M117,"")</f>
        <v/>
      </c>
      <c r="P117" s="14" t="str">
        <f>IF(AND(O117&lt;&gt;"",COUNTIF($O$2:$O$301,O117)&gt;1),"Två gäster på samma plats!","")</f>
        <v/>
      </c>
      <c r="Q117" s="15"/>
    </row>
    <row r="118" spans="1:17" x14ac:dyDescent="0.25">
      <c r="A118" s="15"/>
      <c r="B118" s="15"/>
      <c r="C118" s="15"/>
      <c r="D118" s="15"/>
      <c r="E118" s="15"/>
      <c r="F118" s="15"/>
      <c r="G118" s="15"/>
      <c r="H118" s="15"/>
      <c r="I118" s="15"/>
      <c r="J118" s="15"/>
      <c r="K118" s="15"/>
      <c r="L118" s="16"/>
      <c r="M118" s="16"/>
      <c r="N118" s="15"/>
      <c r="O118" s="15" t="str">
        <f>IF(AND(L118&lt;&gt;"",M118&lt;&gt;""),L118&amp;"-"&amp;M118,"")</f>
        <v/>
      </c>
      <c r="P118" s="14" t="str">
        <f>IF(AND(O118&lt;&gt;"",COUNTIF($O$2:$O$301,O118)&gt;1),"Två gäster på samma plats!","")</f>
        <v/>
      </c>
      <c r="Q118" s="15"/>
    </row>
    <row r="119" spans="1:17" x14ac:dyDescent="0.25">
      <c r="A119" s="15"/>
      <c r="B119" s="15"/>
      <c r="C119" s="15"/>
      <c r="D119" s="15"/>
      <c r="E119" s="15"/>
      <c r="F119" s="15"/>
      <c r="G119" s="15"/>
      <c r="H119" s="15"/>
      <c r="I119" s="15"/>
      <c r="J119" s="15"/>
      <c r="K119" s="15"/>
      <c r="L119" s="16"/>
      <c r="M119" s="16"/>
      <c r="N119" s="15"/>
      <c r="O119" s="15" t="str">
        <f>IF(AND(L119&lt;&gt;"",M119&lt;&gt;""),L119&amp;"-"&amp;M119,"")</f>
        <v/>
      </c>
      <c r="P119" s="14" t="str">
        <f>IF(AND(O119&lt;&gt;"",COUNTIF($O$2:$O$301,O119)&gt;1),"Två gäster på samma plats!","")</f>
        <v/>
      </c>
      <c r="Q119" s="15"/>
    </row>
    <row r="120" spans="1:17" x14ac:dyDescent="0.25">
      <c r="A120" s="15"/>
      <c r="B120" s="15"/>
      <c r="C120" s="15"/>
      <c r="D120" s="15"/>
      <c r="E120" s="15"/>
      <c r="F120" s="15"/>
      <c r="G120" s="15"/>
      <c r="H120" s="15"/>
      <c r="I120" s="15"/>
      <c r="J120" s="15"/>
      <c r="K120" s="15"/>
      <c r="L120" s="16"/>
      <c r="M120" s="16"/>
      <c r="N120" s="15"/>
      <c r="O120" s="15" t="str">
        <f>IF(AND(L120&lt;&gt;"",M120&lt;&gt;""),L120&amp;"-"&amp;M120,"")</f>
        <v/>
      </c>
      <c r="P120" s="14" t="str">
        <f>IF(AND(O120&lt;&gt;"",COUNTIF($O$2:$O$301,O120)&gt;1),"Två gäster på samma plats!","")</f>
        <v/>
      </c>
      <c r="Q120" s="15"/>
    </row>
    <row r="121" spans="1:17" x14ac:dyDescent="0.25">
      <c r="A121" s="15"/>
      <c r="B121" s="15"/>
      <c r="C121" s="15"/>
      <c r="D121" s="15"/>
      <c r="E121" s="15"/>
      <c r="F121" s="15"/>
      <c r="G121" s="15"/>
      <c r="H121" s="15"/>
      <c r="I121" s="15"/>
      <c r="J121" s="15"/>
      <c r="K121" s="15"/>
      <c r="L121" s="16"/>
      <c r="M121" s="16"/>
      <c r="N121" s="15"/>
      <c r="O121" s="15" t="str">
        <f>IF(AND(L121&lt;&gt;"",M121&lt;&gt;""),L121&amp;"-"&amp;M121,"")</f>
        <v/>
      </c>
      <c r="P121" s="14" t="str">
        <f>IF(AND(O121&lt;&gt;"",COUNTIF($O$2:$O$301,O121)&gt;1),"Två gäster på samma plats!","")</f>
        <v/>
      </c>
      <c r="Q121" s="15"/>
    </row>
    <row r="122" spans="1:17" x14ac:dyDescent="0.25">
      <c r="A122" s="15"/>
      <c r="B122" s="15"/>
      <c r="C122" s="15"/>
      <c r="D122" s="15"/>
      <c r="E122" s="15"/>
      <c r="F122" s="15"/>
      <c r="G122" s="15"/>
      <c r="H122" s="15"/>
      <c r="I122" s="15"/>
      <c r="J122" s="15"/>
      <c r="K122" s="15"/>
      <c r="L122" s="16"/>
      <c r="M122" s="16"/>
      <c r="N122" s="15"/>
      <c r="O122" s="15" t="str">
        <f>IF(AND(L122&lt;&gt;"",M122&lt;&gt;""),L122&amp;"-"&amp;M122,"")</f>
        <v/>
      </c>
      <c r="P122" s="14" t="str">
        <f>IF(AND(O122&lt;&gt;"",COUNTIF($O$2:$O$301,O122)&gt;1),"Två gäster på samma plats!","")</f>
        <v/>
      </c>
      <c r="Q122" s="15"/>
    </row>
    <row r="123" spans="1:17" x14ac:dyDescent="0.25">
      <c r="A123" s="15"/>
      <c r="B123" s="15"/>
      <c r="C123" s="15"/>
      <c r="D123" s="15"/>
      <c r="E123" s="15"/>
      <c r="F123" s="15"/>
      <c r="G123" s="15"/>
      <c r="H123" s="15"/>
      <c r="I123" s="15"/>
      <c r="J123" s="15"/>
      <c r="K123" s="15"/>
      <c r="L123" s="16"/>
      <c r="M123" s="16"/>
      <c r="N123" s="15"/>
      <c r="O123" s="15" t="str">
        <f>IF(AND(L123&lt;&gt;"",M123&lt;&gt;""),L123&amp;"-"&amp;M123,"")</f>
        <v/>
      </c>
      <c r="P123" s="14" t="str">
        <f>IF(AND(O123&lt;&gt;"",COUNTIF($O$2:$O$301,O123)&gt;1),"Två gäster på samma plats!","")</f>
        <v/>
      </c>
      <c r="Q123" s="15"/>
    </row>
    <row r="124" spans="1:17" x14ac:dyDescent="0.25">
      <c r="A124" s="15"/>
      <c r="B124" s="15"/>
      <c r="C124" s="15"/>
      <c r="D124" s="15"/>
      <c r="E124" s="15"/>
      <c r="F124" s="15"/>
      <c r="G124" s="15"/>
      <c r="H124" s="15"/>
      <c r="I124" s="15"/>
      <c r="J124" s="15"/>
      <c r="K124" s="15"/>
      <c r="L124" s="16"/>
      <c r="M124" s="16"/>
      <c r="N124" s="15"/>
      <c r="O124" s="15" t="str">
        <f>IF(AND(L124&lt;&gt;"",M124&lt;&gt;""),L124&amp;"-"&amp;M124,"")</f>
        <v/>
      </c>
      <c r="P124" s="14" t="str">
        <f>IF(AND(O124&lt;&gt;"",COUNTIF($O$2:$O$301,O124)&gt;1),"Två gäster på samma plats!","")</f>
        <v/>
      </c>
      <c r="Q124" s="15"/>
    </row>
    <row r="125" spans="1:17" x14ac:dyDescent="0.25">
      <c r="A125" s="15"/>
      <c r="B125" s="15"/>
      <c r="C125" s="15"/>
      <c r="D125" s="15"/>
      <c r="E125" s="15"/>
      <c r="F125" s="15"/>
      <c r="G125" s="15"/>
      <c r="H125" s="15"/>
      <c r="I125" s="15"/>
      <c r="J125" s="15"/>
      <c r="K125" s="15"/>
      <c r="L125" s="16"/>
      <c r="M125" s="16"/>
      <c r="N125" s="15"/>
      <c r="O125" s="15" t="str">
        <f>IF(AND(L125&lt;&gt;"",M125&lt;&gt;""),L125&amp;"-"&amp;M125,"")</f>
        <v/>
      </c>
      <c r="P125" s="14" t="str">
        <f>IF(AND(O125&lt;&gt;"",COUNTIF($O$2:$O$301,O125)&gt;1),"Två gäster på samma plats!","")</f>
        <v/>
      </c>
      <c r="Q125" s="15"/>
    </row>
    <row r="126" spans="1:17" x14ac:dyDescent="0.25">
      <c r="A126" s="15"/>
      <c r="B126" s="15"/>
      <c r="C126" s="15"/>
      <c r="D126" s="15"/>
      <c r="E126" s="15"/>
      <c r="F126" s="15"/>
      <c r="G126" s="15"/>
      <c r="H126" s="15"/>
      <c r="I126" s="15"/>
      <c r="J126" s="15"/>
      <c r="K126" s="15"/>
      <c r="L126" s="16"/>
      <c r="M126" s="16"/>
      <c r="N126" s="15"/>
      <c r="O126" s="15" t="str">
        <f>IF(AND(L126&lt;&gt;"",M126&lt;&gt;""),L126&amp;"-"&amp;M126,"")</f>
        <v/>
      </c>
      <c r="P126" s="14" t="str">
        <f>IF(AND(O126&lt;&gt;"",COUNTIF($O$2:$O$301,O126)&gt;1),"Två gäster på samma plats!","")</f>
        <v/>
      </c>
      <c r="Q126" s="15"/>
    </row>
    <row r="127" spans="1:17" x14ac:dyDescent="0.25">
      <c r="A127" s="15"/>
      <c r="B127" s="15"/>
      <c r="C127" s="15"/>
      <c r="D127" s="15"/>
      <c r="E127" s="15"/>
      <c r="F127" s="15"/>
      <c r="G127" s="15"/>
      <c r="H127" s="15"/>
      <c r="I127" s="15"/>
      <c r="J127" s="15"/>
      <c r="K127" s="15"/>
      <c r="L127" s="16"/>
      <c r="M127" s="16"/>
      <c r="N127" s="15"/>
      <c r="O127" s="15" t="str">
        <f>IF(AND(L127&lt;&gt;"",M127&lt;&gt;""),L127&amp;"-"&amp;M127,"")</f>
        <v/>
      </c>
      <c r="P127" s="14" t="str">
        <f>IF(AND(O127&lt;&gt;"",COUNTIF($O$2:$O$301,O127)&gt;1),"Två gäster på samma plats!","")</f>
        <v/>
      </c>
      <c r="Q127" s="15"/>
    </row>
    <row r="128" spans="1:17" x14ac:dyDescent="0.25">
      <c r="A128" s="15"/>
      <c r="B128" s="15"/>
      <c r="C128" s="15"/>
      <c r="D128" s="15"/>
      <c r="E128" s="15"/>
      <c r="F128" s="15"/>
      <c r="G128" s="15"/>
      <c r="H128" s="15"/>
      <c r="I128" s="15"/>
      <c r="J128" s="15"/>
      <c r="K128" s="15"/>
      <c r="L128" s="16"/>
      <c r="M128" s="16"/>
      <c r="N128" s="15"/>
      <c r="O128" s="15" t="str">
        <f>IF(AND(L128&lt;&gt;"",M128&lt;&gt;""),L128&amp;"-"&amp;M128,"")</f>
        <v/>
      </c>
      <c r="P128" s="14" t="str">
        <f>IF(AND(O128&lt;&gt;"",COUNTIF($O$2:$O$301,O128)&gt;1),"Två gäster på samma plats!","")</f>
        <v/>
      </c>
      <c r="Q128" s="15"/>
    </row>
    <row r="129" spans="1:17" x14ac:dyDescent="0.25">
      <c r="A129" s="15"/>
      <c r="B129" s="15"/>
      <c r="C129" s="15"/>
      <c r="D129" s="15"/>
      <c r="E129" s="15"/>
      <c r="F129" s="15"/>
      <c r="G129" s="15"/>
      <c r="H129" s="15"/>
      <c r="I129" s="15"/>
      <c r="J129" s="15"/>
      <c r="K129" s="15"/>
      <c r="L129" s="16"/>
      <c r="M129" s="16"/>
      <c r="N129" s="15"/>
      <c r="O129" s="15" t="str">
        <f>IF(AND(L129&lt;&gt;"",M129&lt;&gt;""),L129&amp;"-"&amp;M129,"")</f>
        <v/>
      </c>
      <c r="P129" s="14" t="str">
        <f>IF(AND(O129&lt;&gt;"",COUNTIF($O$2:$O$301,O129)&gt;1),"Två gäster på samma plats!","")</f>
        <v/>
      </c>
      <c r="Q129" s="15"/>
    </row>
    <row r="130" spans="1:17" x14ac:dyDescent="0.25">
      <c r="A130" s="15"/>
      <c r="B130" s="15"/>
      <c r="C130" s="15"/>
      <c r="D130" s="15"/>
      <c r="E130" s="15"/>
      <c r="F130" s="15"/>
      <c r="G130" s="15"/>
      <c r="H130" s="15"/>
      <c r="I130" s="15"/>
      <c r="J130" s="15"/>
      <c r="K130" s="15"/>
      <c r="L130" s="16"/>
      <c r="M130" s="16"/>
      <c r="N130" s="15"/>
      <c r="O130" s="15" t="str">
        <f>IF(AND(L130&lt;&gt;"",M130&lt;&gt;""),L130&amp;"-"&amp;M130,"")</f>
        <v/>
      </c>
      <c r="P130" s="14" t="str">
        <f>IF(AND(O130&lt;&gt;"",COUNTIF($O$2:$O$301,O130)&gt;1),"Två gäster på samma plats!","")</f>
        <v/>
      </c>
      <c r="Q130" s="15"/>
    </row>
    <row r="131" spans="1:17" x14ac:dyDescent="0.25">
      <c r="A131" s="15"/>
      <c r="B131" s="15"/>
      <c r="C131" s="15"/>
      <c r="D131" s="15"/>
      <c r="E131" s="15"/>
      <c r="F131" s="15"/>
      <c r="G131" s="15"/>
      <c r="H131" s="15"/>
      <c r="I131" s="15"/>
      <c r="J131" s="15"/>
      <c r="K131" s="15"/>
      <c r="L131" s="16"/>
      <c r="M131" s="16"/>
      <c r="N131" s="15"/>
      <c r="O131" s="15" t="str">
        <f>IF(AND(L131&lt;&gt;"",M131&lt;&gt;""),L131&amp;"-"&amp;M131,"")</f>
        <v/>
      </c>
      <c r="P131" s="14" t="str">
        <f>IF(AND(O131&lt;&gt;"",COUNTIF($O$2:$O$301,O131)&gt;1),"Två gäster på samma plats!","")</f>
        <v/>
      </c>
      <c r="Q131" s="15"/>
    </row>
    <row r="132" spans="1:17" x14ac:dyDescent="0.25">
      <c r="A132" s="15"/>
      <c r="B132" s="15"/>
      <c r="C132" s="15"/>
      <c r="D132" s="15"/>
      <c r="E132" s="15"/>
      <c r="F132" s="15"/>
      <c r="G132" s="15"/>
      <c r="H132" s="15"/>
      <c r="I132" s="15"/>
      <c r="J132" s="15"/>
      <c r="K132" s="15"/>
      <c r="L132" s="16"/>
      <c r="M132" s="16"/>
      <c r="N132" s="15"/>
      <c r="O132" s="15" t="str">
        <f>IF(AND(L132&lt;&gt;"",M132&lt;&gt;""),L132&amp;"-"&amp;M132,"")</f>
        <v/>
      </c>
      <c r="P132" s="14" t="str">
        <f>IF(AND(O132&lt;&gt;"",COUNTIF($O$2:$O$301,O132)&gt;1),"Två gäster på samma plats!","")</f>
        <v/>
      </c>
      <c r="Q132" s="15"/>
    </row>
    <row r="133" spans="1:17" x14ac:dyDescent="0.25">
      <c r="A133" s="15"/>
      <c r="B133" s="15"/>
      <c r="C133" s="15"/>
      <c r="D133" s="15"/>
      <c r="E133" s="15"/>
      <c r="F133" s="15"/>
      <c r="G133" s="15"/>
      <c r="H133" s="15"/>
      <c r="I133" s="15"/>
      <c r="J133" s="15"/>
      <c r="K133" s="15"/>
      <c r="L133" s="16"/>
      <c r="M133" s="16"/>
      <c r="N133" s="15"/>
      <c r="O133" s="15" t="str">
        <f>IF(AND(L133&lt;&gt;"",M133&lt;&gt;""),L133&amp;"-"&amp;M133,"")</f>
        <v/>
      </c>
      <c r="P133" s="14" t="str">
        <f>IF(AND(O133&lt;&gt;"",COUNTIF($O$2:$O$301,O133)&gt;1),"Två gäster på samma plats!","")</f>
        <v/>
      </c>
      <c r="Q133" s="15"/>
    </row>
    <row r="134" spans="1:17" x14ac:dyDescent="0.25">
      <c r="A134" s="15"/>
      <c r="B134" s="15"/>
      <c r="C134" s="15"/>
      <c r="D134" s="15"/>
      <c r="E134" s="15"/>
      <c r="F134" s="15"/>
      <c r="G134" s="15"/>
      <c r="H134" s="15"/>
      <c r="I134" s="15"/>
      <c r="J134" s="15"/>
      <c r="K134" s="15"/>
      <c r="L134" s="16"/>
      <c r="M134" s="16"/>
      <c r="N134" s="15"/>
      <c r="O134" s="15" t="str">
        <f>IF(AND(L134&lt;&gt;"",M134&lt;&gt;""),L134&amp;"-"&amp;M134,"")</f>
        <v/>
      </c>
      <c r="P134" s="14" t="str">
        <f>IF(AND(O134&lt;&gt;"",COUNTIF($O$2:$O$301,O134)&gt;1),"Två gäster på samma plats!","")</f>
        <v/>
      </c>
      <c r="Q134" s="15"/>
    </row>
    <row r="135" spans="1:17" x14ac:dyDescent="0.25">
      <c r="A135" s="15"/>
      <c r="B135" s="15"/>
      <c r="C135" s="15"/>
      <c r="D135" s="15"/>
      <c r="E135" s="15"/>
      <c r="F135" s="15"/>
      <c r="G135" s="15"/>
      <c r="H135" s="15"/>
      <c r="I135" s="15"/>
      <c r="J135" s="15"/>
      <c r="K135" s="15"/>
      <c r="L135" s="16"/>
      <c r="M135" s="16"/>
      <c r="N135" s="15"/>
      <c r="O135" s="15" t="str">
        <f>IF(AND(L135&lt;&gt;"",M135&lt;&gt;""),L135&amp;"-"&amp;M135,"")</f>
        <v/>
      </c>
      <c r="P135" s="14" t="str">
        <f>IF(AND(O135&lt;&gt;"",COUNTIF($O$2:$O$301,O135)&gt;1),"Två gäster på samma plats!","")</f>
        <v/>
      </c>
      <c r="Q135" s="15"/>
    </row>
    <row r="136" spans="1:17" x14ac:dyDescent="0.25">
      <c r="A136" s="15"/>
      <c r="B136" s="15"/>
      <c r="C136" s="15"/>
      <c r="D136" s="15"/>
      <c r="E136" s="15"/>
      <c r="F136" s="15"/>
      <c r="G136" s="15"/>
      <c r="H136" s="15"/>
      <c r="I136" s="15"/>
      <c r="J136" s="15"/>
      <c r="K136" s="15"/>
      <c r="L136" s="16"/>
      <c r="M136" s="16"/>
      <c r="N136" s="15"/>
      <c r="O136" s="15" t="str">
        <f>IF(AND(L136&lt;&gt;"",M136&lt;&gt;""),L136&amp;"-"&amp;M136,"")</f>
        <v/>
      </c>
      <c r="P136" s="14" t="str">
        <f>IF(AND(O136&lt;&gt;"",COUNTIF($O$2:$O$301,O136)&gt;1),"Två gäster på samma plats!","")</f>
        <v/>
      </c>
      <c r="Q136" s="15"/>
    </row>
    <row r="137" spans="1:17" x14ac:dyDescent="0.25">
      <c r="A137" s="15"/>
      <c r="B137" s="15"/>
      <c r="C137" s="15"/>
      <c r="D137" s="15"/>
      <c r="E137" s="15"/>
      <c r="F137" s="15"/>
      <c r="G137" s="15"/>
      <c r="H137" s="15"/>
      <c r="I137" s="15"/>
      <c r="J137" s="15"/>
      <c r="K137" s="15"/>
      <c r="L137" s="16"/>
      <c r="M137" s="16"/>
      <c r="N137" s="15"/>
      <c r="O137" s="15" t="str">
        <f>IF(AND(L137&lt;&gt;"",M137&lt;&gt;""),L137&amp;"-"&amp;M137,"")</f>
        <v/>
      </c>
      <c r="P137" s="14" t="str">
        <f>IF(AND(O137&lt;&gt;"",COUNTIF($O$2:$O$301,O137)&gt;1),"Två gäster på samma plats!","")</f>
        <v/>
      </c>
      <c r="Q137" s="15"/>
    </row>
    <row r="138" spans="1:17" x14ac:dyDescent="0.25">
      <c r="A138" s="15"/>
      <c r="B138" s="15"/>
      <c r="C138" s="15"/>
      <c r="D138" s="15"/>
      <c r="E138" s="15"/>
      <c r="F138" s="15"/>
      <c r="G138" s="15"/>
      <c r="H138" s="15"/>
      <c r="I138" s="15"/>
      <c r="J138" s="15"/>
      <c r="K138" s="15"/>
      <c r="L138" s="16"/>
      <c r="M138" s="16"/>
      <c r="N138" s="15"/>
      <c r="O138" s="15" t="str">
        <f>IF(AND(L138&lt;&gt;"",M138&lt;&gt;""),L138&amp;"-"&amp;M138,"")</f>
        <v/>
      </c>
      <c r="P138" s="14" t="str">
        <f>IF(AND(O138&lt;&gt;"",COUNTIF($O$2:$O$301,O138)&gt;1),"Två gäster på samma plats!","")</f>
        <v/>
      </c>
      <c r="Q138" s="15"/>
    </row>
    <row r="139" spans="1:17" x14ac:dyDescent="0.25">
      <c r="A139" s="15"/>
      <c r="B139" s="15"/>
      <c r="C139" s="15"/>
      <c r="D139" s="15"/>
      <c r="E139" s="15"/>
      <c r="F139" s="15"/>
      <c r="G139" s="15"/>
      <c r="H139" s="15"/>
      <c r="I139" s="15"/>
      <c r="J139" s="15"/>
      <c r="K139" s="15"/>
      <c r="L139" s="16"/>
      <c r="M139" s="16"/>
      <c r="N139" s="15"/>
      <c r="O139" s="15" t="str">
        <f>IF(AND(L139&lt;&gt;"",M139&lt;&gt;""),L139&amp;"-"&amp;M139,"")</f>
        <v/>
      </c>
      <c r="P139" s="14" t="str">
        <f>IF(AND(O139&lt;&gt;"",COUNTIF($O$2:$O$301,O139)&gt;1),"Två gäster på samma plats!","")</f>
        <v/>
      </c>
      <c r="Q139" s="15"/>
    </row>
    <row r="140" spans="1:17" x14ac:dyDescent="0.25">
      <c r="A140" s="15"/>
      <c r="B140" s="15"/>
      <c r="C140" s="15"/>
      <c r="D140" s="15"/>
      <c r="E140" s="15"/>
      <c r="F140" s="15"/>
      <c r="G140" s="15"/>
      <c r="H140" s="15"/>
      <c r="I140" s="15"/>
      <c r="J140" s="15"/>
      <c r="K140" s="15"/>
      <c r="L140" s="16"/>
      <c r="M140" s="16"/>
      <c r="N140" s="15"/>
      <c r="O140" s="15" t="str">
        <f>IF(AND(L140&lt;&gt;"",M140&lt;&gt;""),L140&amp;"-"&amp;M140,"")</f>
        <v/>
      </c>
      <c r="P140" s="14" t="str">
        <f>IF(AND(O140&lt;&gt;"",COUNTIF($O$2:$O$301,O140)&gt;1),"Två gäster på samma plats!","")</f>
        <v/>
      </c>
      <c r="Q140" s="15"/>
    </row>
    <row r="141" spans="1:17" x14ac:dyDescent="0.25">
      <c r="A141" s="15"/>
      <c r="B141" s="15"/>
      <c r="C141" s="15"/>
      <c r="D141" s="15"/>
      <c r="E141" s="15"/>
      <c r="F141" s="15"/>
      <c r="G141" s="15"/>
      <c r="H141" s="15"/>
      <c r="I141" s="15"/>
      <c r="J141" s="15"/>
      <c r="K141" s="15"/>
      <c r="L141" s="16"/>
      <c r="M141" s="16"/>
      <c r="N141" s="15"/>
      <c r="O141" s="15" t="str">
        <f>IF(AND(L141&lt;&gt;"",M141&lt;&gt;""),L141&amp;"-"&amp;M141,"")</f>
        <v/>
      </c>
      <c r="P141" s="14" t="str">
        <f>IF(AND(O141&lt;&gt;"",COUNTIF($O$2:$O$301,O141)&gt;1),"Två gäster på samma plats!","")</f>
        <v/>
      </c>
      <c r="Q141" s="15"/>
    </row>
    <row r="142" spans="1:17" x14ac:dyDescent="0.25">
      <c r="A142" s="15"/>
      <c r="B142" s="15"/>
      <c r="C142" s="15"/>
      <c r="D142" s="15"/>
      <c r="E142" s="15"/>
      <c r="F142" s="15"/>
      <c r="G142" s="15"/>
      <c r="H142" s="15"/>
      <c r="I142" s="15"/>
      <c r="J142" s="15"/>
      <c r="K142" s="15"/>
      <c r="L142" s="16"/>
      <c r="M142" s="16"/>
      <c r="N142" s="15"/>
      <c r="O142" s="15" t="str">
        <f>IF(AND(L142&lt;&gt;"",M142&lt;&gt;""),L142&amp;"-"&amp;M142,"")</f>
        <v/>
      </c>
      <c r="P142" s="14" t="str">
        <f>IF(AND(O142&lt;&gt;"",COUNTIF($O$2:$O$301,O142)&gt;1),"Två gäster på samma plats!","")</f>
        <v/>
      </c>
      <c r="Q142" s="15"/>
    </row>
    <row r="143" spans="1:17" x14ac:dyDescent="0.25">
      <c r="A143" s="15"/>
      <c r="B143" s="15"/>
      <c r="C143" s="15"/>
      <c r="D143" s="15"/>
      <c r="E143" s="15"/>
      <c r="F143" s="15"/>
      <c r="G143" s="15"/>
      <c r="H143" s="15"/>
      <c r="I143" s="15"/>
      <c r="J143" s="15"/>
      <c r="K143" s="15"/>
      <c r="L143" s="16"/>
      <c r="M143" s="16"/>
      <c r="N143" s="15"/>
      <c r="O143" s="15" t="str">
        <f>IF(AND(L143&lt;&gt;"",M143&lt;&gt;""),L143&amp;"-"&amp;M143,"")</f>
        <v/>
      </c>
      <c r="P143" s="14" t="str">
        <f>IF(AND(O143&lt;&gt;"",COUNTIF($O$2:$O$301,O143)&gt;1),"Två gäster på samma plats!","")</f>
        <v/>
      </c>
      <c r="Q143" s="15"/>
    </row>
    <row r="144" spans="1:17" x14ac:dyDescent="0.25">
      <c r="A144" s="15"/>
      <c r="B144" s="15"/>
      <c r="C144" s="15"/>
      <c r="D144" s="15"/>
      <c r="E144" s="15"/>
      <c r="F144" s="15"/>
      <c r="G144" s="15"/>
      <c r="H144" s="15"/>
      <c r="I144" s="15"/>
      <c r="J144" s="15"/>
      <c r="K144" s="15"/>
      <c r="L144" s="16"/>
      <c r="M144" s="16"/>
      <c r="N144" s="15"/>
      <c r="O144" s="15" t="str">
        <f>IF(AND(L144&lt;&gt;"",M144&lt;&gt;""),L144&amp;"-"&amp;M144,"")</f>
        <v/>
      </c>
      <c r="P144" s="14" t="str">
        <f>IF(AND(O144&lt;&gt;"",COUNTIF($O$2:$O$301,O144)&gt;1),"Två gäster på samma plats!","")</f>
        <v/>
      </c>
      <c r="Q144" s="15"/>
    </row>
    <row r="145" spans="1:17" x14ac:dyDescent="0.25">
      <c r="A145" s="15"/>
      <c r="B145" s="15"/>
      <c r="C145" s="15"/>
      <c r="D145" s="15"/>
      <c r="E145" s="15"/>
      <c r="F145" s="15"/>
      <c r="G145" s="15"/>
      <c r="H145" s="15"/>
      <c r="I145" s="15"/>
      <c r="J145" s="15"/>
      <c r="K145" s="15"/>
      <c r="L145" s="16"/>
      <c r="M145" s="16"/>
      <c r="N145" s="15"/>
      <c r="O145" s="15" t="str">
        <f>IF(AND(L145&lt;&gt;"",M145&lt;&gt;""),L145&amp;"-"&amp;M145,"")</f>
        <v/>
      </c>
      <c r="P145" s="14" t="str">
        <f>IF(AND(O145&lt;&gt;"",COUNTIF($O$2:$O$301,O145)&gt;1),"Två gäster på samma plats!","")</f>
        <v/>
      </c>
      <c r="Q145" s="15"/>
    </row>
    <row r="146" spans="1:17" x14ac:dyDescent="0.25">
      <c r="A146" s="15"/>
      <c r="B146" s="15"/>
      <c r="C146" s="15"/>
      <c r="D146" s="15"/>
      <c r="E146" s="15"/>
      <c r="F146" s="15"/>
      <c r="G146" s="15"/>
      <c r="H146" s="15"/>
      <c r="I146" s="15"/>
      <c r="J146" s="15"/>
      <c r="K146" s="15"/>
      <c r="L146" s="16"/>
      <c r="M146" s="16"/>
      <c r="N146" s="15"/>
      <c r="O146" s="15" t="str">
        <f>IF(AND(L146&lt;&gt;"",M146&lt;&gt;""),L146&amp;"-"&amp;M146,"")</f>
        <v/>
      </c>
      <c r="P146" s="14" t="str">
        <f>IF(AND(O146&lt;&gt;"",COUNTIF($O$2:$O$301,O146)&gt;1),"Två gäster på samma plats!","")</f>
        <v/>
      </c>
      <c r="Q146" s="15"/>
    </row>
    <row r="147" spans="1:17" x14ac:dyDescent="0.25">
      <c r="A147" s="15"/>
      <c r="B147" s="15"/>
      <c r="C147" s="15"/>
      <c r="D147" s="15"/>
      <c r="E147" s="15"/>
      <c r="F147" s="15"/>
      <c r="G147" s="15"/>
      <c r="H147" s="15"/>
      <c r="I147" s="15"/>
      <c r="J147" s="15"/>
      <c r="K147" s="15"/>
      <c r="L147" s="16"/>
      <c r="M147" s="16"/>
      <c r="N147" s="15"/>
      <c r="O147" s="15" t="str">
        <f>IF(AND(L147&lt;&gt;"",M147&lt;&gt;""),L147&amp;"-"&amp;M147,"")</f>
        <v/>
      </c>
      <c r="P147" s="14" t="str">
        <f>IF(AND(O147&lt;&gt;"",COUNTIF($O$2:$O$301,O147)&gt;1),"Två gäster på samma plats!","")</f>
        <v/>
      </c>
      <c r="Q147" s="15"/>
    </row>
    <row r="148" spans="1:17" x14ac:dyDescent="0.25">
      <c r="A148" s="15"/>
      <c r="B148" s="15"/>
      <c r="C148" s="15"/>
      <c r="D148" s="15"/>
      <c r="E148" s="15"/>
      <c r="F148" s="15"/>
      <c r="G148" s="15"/>
      <c r="H148" s="15"/>
      <c r="I148" s="15"/>
      <c r="J148" s="15"/>
      <c r="K148" s="15"/>
      <c r="L148" s="16"/>
      <c r="M148" s="16"/>
      <c r="N148" s="15"/>
      <c r="O148" s="15" t="str">
        <f>IF(AND(L148&lt;&gt;"",M148&lt;&gt;""),L148&amp;"-"&amp;M148,"")</f>
        <v/>
      </c>
      <c r="P148" s="14" t="str">
        <f>IF(AND(O148&lt;&gt;"",COUNTIF($O$2:$O$301,O148)&gt;1),"Två gäster på samma plats!","")</f>
        <v/>
      </c>
      <c r="Q148" s="15"/>
    </row>
    <row r="149" spans="1:17" x14ac:dyDescent="0.25">
      <c r="A149" s="15"/>
      <c r="B149" s="15"/>
      <c r="C149" s="15"/>
      <c r="D149" s="15"/>
      <c r="E149" s="15"/>
      <c r="F149" s="15"/>
      <c r="G149" s="15"/>
      <c r="H149" s="15"/>
      <c r="I149" s="15"/>
      <c r="J149" s="15"/>
      <c r="K149" s="15"/>
      <c r="L149" s="16"/>
      <c r="M149" s="16"/>
      <c r="N149" s="15"/>
      <c r="O149" s="15" t="str">
        <f>IF(AND(L149&lt;&gt;"",M149&lt;&gt;""),L149&amp;"-"&amp;M149,"")</f>
        <v/>
      </c>
      <c r="P149" s="14" t="str">
        <f>IF(AND(O149&lt;&gt;"",COUNTIF($O$2:$O$301,O149)&gt;1),"Två gäster på samma plats!","")</f>
        <v/>
      </c>
      <c r="Q149" s="15"/>
    </row>
    <row r="150" spans="1:17" x14ac:dyDescent="0.25">
      <c r="A150" s="15"/>
      <c r="B150" s="15"/>
      <c r="C150" s="15"/>
      <c r="D150" s="15"/>
      <c r="E150" s="15"/>
      <c r="F150" s="15"/>
      <c r="G150" s="15"/>
      <c r="H150" s="15"/>
      <c r="I150" s="15"/>
      <c r="J150" s="15"/>
      <c r="K150" s="15"/>
      <c r="L150" s="16"/>
      <c r="M150" s="16"/>
      <c r="N150" s="15"/>
      <c r="O150" s="15" t="str">
        <f>IF(AND(L150&lt;&gt;"",M150&lt;&gt;""),L150&amp;"-"&amp;M150,"")</f>
        <v/>
      </c>
      <c r="P150" s="14" t="str">
        <f>IF(AND(O150&lt;&gt;"",COUNTIF($O$2:$O$301,O150)&gt;1),"Två gäster på samma plats!","")</f>
        <v/>
      </c>
      <c r="Q150" s="15"/>
    </row>
    <row r="151" spans="1:17" x14ac:dyDescent="0.25">
      <c r="A151" s="15"/>
      <c r="B151" s="15"/>
      <c r="C151" s="15"/>
      <c r="D151" s="15"/>
      <c r="E151" s="15"/>
      <c r="F151" s="15"/>
      <c r="G151" s="15"/>
      <c r="H151" s="15"/>
      <c r="I151" s="15"/>
      <c r="J151" s="15"/>
      <c r="K151" s="15"/>
      <c r="L151" s="16"/>
      <c r="M151" s="16"/>
      <c r="N151" s="15"/>
      <c r="O151" s="15" t="str">
        <f>IF(AND(L151&lt;&gt;"",M151&lt;&gt;""),L151&amp;"-"&amp;M151,"")</f>
        <v/>
      </c>
      <c r="P151" s="14" t="str">
        <f>IF(AND(O151&lt;&gt;"",COUNTIF($O$2:$O$301,O151)&gt;1),"Två gäster på samma plats!","")</f>
        <v/>
      </c>
      <c r="Q151" s="15"/>
    </row>
    <row r="152" spans="1:17" x14ac:dyDescent="0.25">
      <c r="A152" s="15"/>
      <c r="B152" s="15"/>
      <c r="C152" s="15"/>
      <c r="D152" s="15"/>
      <c r="E152" s="15"/>
      <c r="F152" s="15"/>
      <c r="G152" s="15"/>
      <c r="H152" s="15"/>
      <c r="I152" s="15"/>
      <c r="J152" s="15"/>
      <c r="K152" s="15"/>
      <c r="L152" s="16"/>
      <c r="M152" s="16"/>
      <c r="N152" s="15"/>
      <c r="O152" s="15" t="str">
        <f>IF(AND(L152&lt;&gt;"",M152&lt;&gt;""),L152&amp;"-"&amp;M152,"")</f>
        <v/>
      </c>
      <c r="P152" s="14" t="str">
        <f>IF(AND(O152&lt;&gt;"",COUNTIF($O$2:$O$301,O152)&gt;1),"Två gäster på samma plats!","")</f>
        <v/>
      </c>
      <c r="Q152" s="15"/>
    </row>
    <row r="153" spans="1:17" x14ac:dyDescent="0.25">
      <c r="A153" s="15"/>
      <c r="B153" s="15"/>
      <c r="C153" s="15"/>
      <c r="D153" s="15"/>
      <c r="E153" s="15"/>
      <c r="F153" s="15"/>
      <c r="G153" s="15"/>
      <c r="H153" s="15"/>
      <c r="I153" s="15"/>
      <c r="J153" s="15"/>
      <c r="K153" s="15"/>
      <c r="L153" s="16"/>
      <c r="M153" s="16"/>
      <c r="N153" s="15"/>
      <c r="O153" s="15" t="str">
        <f>IF(AND(L153&lt;&gt;"",M153&lt;&gt;""),L153&amp;"-"&amp;M153,"")</f>
        <v/>
      </c>
      <c r="P153" s="14" t="str">
        <f>IF(AND(O153&lt;&gt;"",COUNTIF($O$2:$O$301,O153)&gt;1),"Två gäster på samma plats!","")</f>
        <v/>
      </c>
      <c r="Q153" s="15"/>
    </row>
    <row r="154" spans="1:17" x14ac:dyDescent="0.25">
      <c r="A154" s="15"/>
      <c r="B154" s="15"/>
      <c r="C154" s="15"/>
      <c r="D154" s="15"/>
      <c r="E154" s="15"/>
      <c r="F154" s="15"/>
      <c r="G154" s="15"/>
      <c r="H154" s="15"/>
      <c r="I154" s="15"/>
      <c r="J154" s="15"/>
      <c r="K154" s="15"/>
      <c r="L154" s="16"/>
      <c r="M154" s="16"/>
      <c r="N154" s="15"/>
      <c r="O154" s="15" t="str">
        <f>IF(AND(L154&lt;&gt;"",M154&lt;&gt;""),L154&amp;"-"&amp;M154,"")</f>
        <v/>
      </c>
      <c r="P154" s="14" t="str">
        <f>IF(AND(O154&lt;&gt;"",COUNTIF($O$2:$O$301,O154)&gt;1),"Två gäster på samma plats!","")</f>
        <v/>
      </c>
      <c r="Q154" s="15"/>
    </row>
    <row r="155" spans="1:17" x14ac:dyDescent="0.25">
      <c r="A155" s="15"/>
      <c r="B155" s="15"/>
      <c r="C155" s="15"/>
      <c r="D155" s="15"/>
      <c r="E155" s="15"/>
      <c r="F155" s="15"/>
      <c r="G155" s="15"/>
      <c r="H155" s="15"/>
      <c r="I155" s="15"/>
      <c r="J155" s="15"/>
      <c r="K155" s="15"/>
      <c r="L155" s="16"/>
      <c r="M155" s="16"/>
      <c r="N155" s="15"/>
      <c r="O155" s="15" t="str">
        <f>IF(AND(L155&lt;&gt;"",M155&lt;&gt;""),L155&amp;"-"&amp;M155,"")</f>
        <v/>
      </c>
      <c r="P155" s="14" t="str">
        <f>IF(AND(O155&lt;&gt;"",COUNTIF($O$2:$O$301,O155)&gt;1),"Två gäster på samma plats!","")</f>
        <v/>
      </c>
      <c r="Q155" s="15"/>
    </row>
    <row r="156" spans="1:17" x14ac:dyDescent="0.25">
      <c r="A156" s="15"/>
      <c r="B156" s="15"/>
      <c r="C156" s="15"/>
      <c r="D156" s="15"/>
      <c r="E156" s="15"/>
      <c r="F156" s="15"/>
      <c r="G156" s="15"/>
      <c r="H156" s="15"/>
      <c r="I156" s="15"/>
      <c r="J156" s="15"/>
      <c r="K156" s="15"/>
      <c r="L156" s="16"/>
      <c r="M156" s="16"/>
      <c r="N156" s="15"/>
      <c r="O156" s="15" t="str">
        <f>IF(AND(L156&lt;&gt;"",M156&lt;&gt;""),L156&amp;"-"&amp;M156,"")</f>
        <v/>
      </c>
      <c r="P156" s="14" t="str">
        <f>IF(AND(O156&lt;&gt;"",COUNTIF($O$2:$O$301,O156)&gt;1),"Två gäster på samma plats!","")</f>
        <v/>
      </c>
      <c r="Q156" s="15"/>
    </row>
    <row r="157" spans="1:17" x14ac:dyDescent="0.25">
      <c r="A157" s="15"/>
      <c r="B157" s="15"/>
      <c r="C157" s="15"/>
      <c r="D157" s="15"/>
      <c r="E157" s="15"/>
      <c r="F157" s="15"/>
      <c r="G157" s="15"/>
      <c r="H157" s="15"/>
      <c r="I157" s="15"/>
      <c r="J157" s="15"/>
      <c r="K157" s="15"/>
      <c r="L157" s="16"/>
      <c r="M157" s="16"/>
      <c r="N157" s="15"/>
      <c r="O157" s="15" t="str">
        <f>IF(AND(L157&lt;&gt;"",M157&lt;&gt;""),L157&amp;"-"&amp;M157,"")</f>
        <v/>
      </c>
      <c r="P157" s="14" t="str">
        <f>IF(AND(O157&lt;&gt;"",COUNTIF($O$2:$O$301,O157)&gt;1),"Två gäster på samma plats!","")</f>
        <v/>
      </c>
      <c r="Q157" s="15"/>
    </row>
    <row r="158" spans="1:17" x14ac:dyDescent="0.25">
      <c r="A158" s="15"/>
      <c r="B158" s="15"/>
      <c r="C158" s="15"/>
      <c r="D158" s="15"/>
      <c r="E158" s="15"/>
      <c r="F158" s="15"/>
      <c r="G158" s="15"/>
      <c r="H158" s="15"/>
      <c r="I158" s="15"/>
      <c r="J158" s="15"/>
      <c r="K158" s="15"/>
      <c r="L158" s="16"/>
      <c r="M158" s="16"/>
      <c r="N158" s="15"/>
      <c r="O158" s="15" t="str">
        <f>IF(AND(L158&lt;&gt;"",M158&lt;&gt;""),L158&amp;"-"&amp;M158,"")</f>
        <v/>
      </c>
      <c r="P158" s="14" t="str">
        <f>IF(AND(O158&lt;&gt;"",COUNTIF($O$2:$O$301,O158)&gt;1),"Två gäster på samma plats!","")</f>
        <v/>
      </c>
      <c r="Q158" s="15"/>
    </row>
    <row r="159" spans="1:17" x14ac:dyDescent="0.25">
      <c r="A159" s="15"/>
      <c r="B159" s="15"/>
      <c r="C159" s="15"/>
      <c r="D159" s="15"/>
      <c r="E159" s="15"/>
      <c r="F159" s="15"/>
      <c r="G159" s="15"/>
      <c r="H159" s="15"/>
      <c r="I159" s="15"/>
      <c r="J159" s="15"/>
      <c r="K159" s="15"/>
      <c r="L159" s="16"/>
      <c r="M159" s="16"/>
      <c r="N159" s="15"/>
      <c r="O159" s="15" t="str">
        <f>IF(AND(L159&lt;&gt;"",M159&lt;&gt;""),L159&amp;"-"&amp;M159,"")</f>
        <v/>
      </c>
      <c r="P159" s="14" t="str">
        <f>IF(AND(O159&lt;&gt;"",COUNTIF($O$2:$O$301,O159)&gt;1),"Två gäster på samma plats!","")</f>
        <v/>
      </c>
      <c r="Q159" s="15"/>
    </row>
    <row r="160" spans="1:17" x14ac:dyDescent="0.25">
      <c r="A160" s="15"/>
      <c r="B160" s="15"/>
      <c r="C160" s="15"/>
      <c r="D160" s="15"/>
      <c r="E160" s="15"/>
      <c r="F160" s="15"/>
      <c r="G160" s="15"/>
      <c r="H160" s="15"/>
      <c r="I160" s="15"/>
      <c r="J160" s="15"/>
      <c r="K160" s="15"/>
      <c r="L160" s="16"/>
      <c r="M160" s="16"/>
      <c r="N160" s="15"/>
      <c r="O160" s="15" t="str">
        <f>IF(AND(L160&lt;&gt;"",M160&lt;&gt;""),L160&amp;"-"&amp;M160,"")</f>
        <v/>
      </c>
      <c r="P160" s="14" t="str">
        <f>IF(AND(O160&lt;&gt;"",COUNTIF($O$2:$O$301,O160)&gt;1),"Två gäster på samma plats!","")</f>
        <v/>
      </c>
      <c r="Q160" s="15"/>
    </row>
    <row r="161" spans="1:17" x14ac:dyDescent="0.25">
      <c r="A161" s="15"/>
      <c r="B161" s="15"/>
      <c r="C161" s="15"/>
      <c r="D161" s="15"/>
      <c r="E161" s="15"/>
      <c r="F161" s="15"/>
      <c r="G161" s="15"/>
      <c r="H161" s="15"/>
      <c r="I161" s="15"/>
      <c r="J161" s="15"/>
      <c r="K161" s="15"/>
      <c r="L161" s="16"/>
      <c r="M161" s="16"/>
      <c r="N161" s="15"/>
      <c r="O161" s="15" t="str">
        <f>IF(AND(L161&lt;&gt;"",M161&lt;&gt;""),L161&amp;"-"&amp;M161,"")</f>
        <v/>
      </c>
      <c r="P161" s="14" t="str">
        <f>IF(AND(O161&lt;&gt;"",COUNTIF($O$2:$O$301,O161)&gt;1),"Två gäster på samma plats!","")</f>
        <v/>
      </c>
      <c r="Q161" s="15"/>
    </row>
    <row r="162" spans="1:17" x14ac:dyDescent="0.25">
      <c r="A162" s="15"/>
      <c r="B162" s="15"/>
      <c r="C162" s="15"/>
      <c r="D162" s="15"/>
      <c r="E162" s="15"/>
      <c r="F162" s="15"/>
      <c r="G162" s="15"/>
      <c r="H162" s="15"/>
      <c r="I162" s="15"/>
      <c r="J162" s="15"/>
      <c r="K162" s="15"/>
      <c r="L162" s="16"/>
      <c r="M162" s="16"/>
      <c r="N162" s="15"/>
      <c r="O162" s="15" t="str">
        <f>IF(AND(L162&lt;&gt;"",M162&lt;&gt;""),L162&amp;"-"&amp;M162,"")</f>
        <v/>
      </c>
      <c r="P162" s="14" t="str">
        <f>IF(AND(O162&lt;&gt;"",COUNTIF($O$2:$O$301,O162)&gt;1),"Två gäster på samma plats!","")</f>
        <v/>
      </c>
      <c r="Q162" s="15"/>
    </row>
    <row r="163" spans="1:17" x14ac:dyDescent="0.25">
      <c r="A163" s="15"/>
      <c r="B163" s="15"/>
      <c r="C163" s="15"/>
      <c r="D163" s="15"/>
      <c r="E163" s="15"/>
      <c r="F163" s="15"/>
      <c r="G163" s="15"/>
      <c r="H163" s="15"/>
      <c r="I163" s="15"/>
      <c r="J163" s="15"/>
      <c r="K163" s="15"/>
      <c r="L163" s="16"/>
      <c r="M163" s="16"/>
      <c r="N163" s="15"/>
      <c r="O163" s="15" t="str">
        <f>IF(AND(L163&lt;&gt;"",M163&lt;&gt;""),L163&amp;"-"&amp;M163,"")</f>
        <v/>
      </c>
      <c r="P163" s="14" t="str">
        <f>IF(AND(O163&lt;&gt;"",COUNTIF($O$2:$O$301,O163)&gt;1),"Två gäster på samma plats!","")</f>
        <v/>
      </c>
      <c r="Q163" s="15"/>
    </row>
    <row r="164" spans="1:17" x14ac:dyDescent="0.25">
      <c r="A164" s="15"/>
      <c r="B164" s="15"/>
      <c r="C164" s="15"/>
      <c r="D164" s="15"/>
      <c r="E164" s="15"/>
      <c r="F164" s="15"/>
      <c r="G164" s="15"/>
      <c r="H164" s="15"/>
      <c r="I164" s="15"/>
      <c r="J164" s="15"/>
      <c r="K164" s="15"/>
      <c r="L164" s="16"/>
      <c r="M164" s="16"/>
      <c r="N164" s="15"/>
      <c r="O164" s="15" t="str">
        <f>IF(AND(L164&lt;&gt;"",M164&lt;&gt;""),L164&amp;"-"&amp;M164,"")</f>
        <v/>
      </c>
      <c r="P164" s="14" t="str">
        <f>IF(AND(O164&lt;&gt;"",COUNTIF($O$2:$O$301,O164)&gt;1),"Två gäster på samma plats!","")</f>
        <v/>
      </c>
      <c r="Q164" s="15"/>
    </row>
    <row r="165" spans="1:17" x14ac:dyDescent="0.25">
      <c r="A165" s="15"/>
      <c r="B165" s="15"/>
      <c r="C165" s="15"/>
      <c r="D165" s="15"/>
      <c r="E165" s="15"/>
      <c r="F165" s="15"/>
      <c r="G165" s="15"/>
      <c r="H165" s="15"/>
      <c r="I165" s="15"/>
      <c r="J165" s="15"/>
      <c r="K165" s="15"/>
      <c r="L165" s="16"/>
      <c r="M165" s="16"/>
      <c r="N165" s="15"/>
      <c r="O165" s="15" t="str">
        <f>IF(AND(L165&lt;&gt;"",M165&lt;&gt;""),L165&amp;"-"&amp;M165,"")</f>
        <v/>
      </c>
      <c r="P165" s="14" t="str">
        <f>IF(AND(O165&lt;&gt;"",COUNTIF($O$2:$O$301,O165)&gt;1),"Två gäster på samma plats!","")</f>
        <v/>
      </c>
      <c r="Q165" s="15"/>
    </row>
    <row r="166" spans="1:17" x14ac:dyDescent="0.25">
      <c r="A166" s="15"/>
      <c r="B166" s="15"/>
      <c r="C166" s="15"/>
      <c r="D166" s="15"/>
      <c r="E166" s="15"/>
      <c r="F166" s="15"/>
      <c r="G166" s="15"/>
      <c r="H166" s="15"/>
      <c r="I166" s="15"/>
      <c r="J166" s="15"/>
      <c r="K166" s="15"/>
      <c r="L166" s="16"/>
      <c r="M166" s="16"/>
      <c r="N166" s="15"/>
      <c r="O166" s="15" t="str">
        <f>IF(AND(L166&lt;&gt;"",M166&lt;&gt;""),L166&amp;"-"&amp;M166,"")</f>
        <v/>
      </c>
      <c r="P166" s="14" t="str">
        <f>IF(AND(O166&lt;&gt;"",COUNTIF($O$2:$O$301,O166)&gt;1),"Två gäster på samma plats!","")</f>
        <v/>
      </c>
      <c r="Q166" s="15"/>
    </row>
    <row r="167" spans="1:17" x14ac:dyDescent="0.25">
      <c r="A167" s="15"/>
      <c r="B167" s="15"/>
      <c r="C167" s="15"/>
      <c r="D167" s="15"/>
      <c r="E167" s="15"/>
      <c r="F167" s="15"/>
      <c r="G167" s="15"/>
      <c r="H167" s="15"/>
      <c r="I167" s="15"/>
      <c r="J167" s="15"/>
      <c r="K167" s="15"/>
      <c r="L167" s="16"/>
      <c r="M167" s="16"/>
      <c r="N167" s="15"/>
      <c r="O167" s="15" t="str">
        <f>IF(AND(L167&lt;&gt;"",M167&lt;&gt;""),L167&amp;"-"&amp;M167,"")</f>
        <v/>
      </c>
      <c r="P167" s="14" t="str">
        <f>IF(AND(O167&lt;&gt;"",COUNTIF($O$2:$O$301,O167)&gt;1),"Två gäster på samma plats!","")</f>
        <v/>
      </c>
      <c r="Q167" s="15"/>
    </row>
    <row r="168" spans="1:17" x14ac:dyDescent="0.25">
      <c r="A168" s="15"/>
      <c r="B168" s="15"/>
      <c r="C168" s="15"/>
      <c r="D168" s="15"/>
      <c r="E168" s="15"/>
      <c r="F168" s="15"/>
      <c r="G168" s="15"/>
      <c r="H168" s="15"/>
      <c r="I168" s="15"/>
      <c r="J168" s="15"/>
      <c r="K168" s="15"/>
      <c r="L168" s="16"/>
      <c r="M168" s="16"/>
      <c r="N168" s="15"/>
      <c r="O168" s="15" t="str">
        <f>IF(AND(L168&lt;&gt;"",M168&lt;&gt;""),L168&amp;"-"&amp;M168,"")</f>
        <v/>
      </c>
      <c r="P168" s="14" t="str">
        <f>IF(AND(O168&lt;&gt;"",COUNTIF($O$2:$O$301,O168)&gt;1),"Två gäster på samma plats!","")</f>
        <v/>
      </c>
      <c r="Q168" s="15"/>
    </row>
    <row r="169" spans="1:17" x14ac:dyDescent="0.25">
      <c r="A169" s="15"/>
      <c r="B169" s="15"/>
      <c r="C169" s="15"/>
      <c r="D169" s="15"/>
      <c r="E169" s="15"/>
      <c r="F169" s="15"/>
      <c r="G169" s="15"/>
      <c r="H169" s="15"/>
      <c r="I169" s="15"/>
      <c r="J169" s="15"/>
      <c r="K169" s="15"/>
      <c r="L169" s="16"/>
      <c r="M169" s="16"/>
      <c r="N169" s="15"/>
      <c r="O169" s="15" t="str">
        <f>IF(AND(L169&lt;&gt;"",M169&lt;&gt;""),L169&amp;"-"&amp;M169,"")</f>
        <v/>
      </c>
      <c r="P169" s="14" t="str">
        <f>IF(AND(O169&lt;&gt;"",COUNTIF($O$2:$O$301,O169)&gt;1),"Två gäster på samma plats!","")</f>
        <v/>
      </c>
      <c r="Q169" s="15"/>
    </row>
    <row r="170" spans="1:17" x14ac:dyDescent="0.25">
      <c r="A170" s="15"/>
      <c r="B170" s="15"/>
      <c r="C170" s="15"/>
      <c r="D170" s="15"/>
      <c r="E170" s="15"/>
      <c r="F170" s="15"/>
      <c r="G170" s="15"/>
      <c r="H170" s="15"/>
      <c r="I170" s="15"/>
      <c r="J170" s="15"/>
      <c r="K170" s="15"/>
      <c r="L170" s="16"/>
      <c r="M170" s="16"/>
      <c r="N170" s="15"/>
      <c r="O170" s="15" t="str">
        <f>IF(AND(L170&lt;&gt;"",M170&lt;&gt;""),L170&amp;"-"&amp;M170,"")</f>
        <v/>
      </c>
      <c r="P170" s="14" t="str">
        <f>IF(AND(O170&lt;&gt;"",COUNTIF($O$2:$O$301,O170)&gt;1),"Två gäster på samma plats!","")</f>
        <v/>
      </c>
      <c r="Q170" s="15"/>
    </row>
    <row r="171" spans="1:17" x14ac:dyDescent="0.25">
      <c r="A171" s="15"/>
      <c r="B171" s="15"/>
      <c r="C171" s="15"/>
      <c r="D171" s="15"/>
      <c r="E171" s="15"/>
      <c r="F171" s="15"/>
      <c r="G171" s="15"/>
      <c r="H171" s="15"/>
      <c r="I171" s="15"/>
      <c r="J171" s="15"/>
      <c r="K171" s="15"/>
      <c r="L171" s="16"/>
      <c r="M171" s="16"/>
      <c r="N171" s="15"/>
      <c r="O171" s="15" t="str">
        <f>IF(AND(L171&lt;&gt;"",M171&lt;&gt;""),L171&amp;"-"&amp;M171,"")</f>
        <v/>
      </c>
      <c r="P171" s="14" t="str">
        <f>IF(AND(O171&lt;&gt;"",COUNTIF($O$2:$O$301,O171)&gt;1),"Två gäster på samma plats!","")</f>
        <v/>
      </c>
      <c r="Q171" s="15"/>
    </row>
    <row r="172" spans="1:17" x14ac:dyDescent="0.25">
      <c r="A172" s="15"/>
      <c r="B172" s="15"/>
      <c r="C172" s="15"/>
      <c r="D172" s="15"/>
      <c r="E172" s="15"/>
      <c r="F172" s="15"/>
      <c r="G172" s="15"/>
      <c r="H172" s="15"/>
      <c r="I172" s="15"/>
      <c r="J172" s="15"/>
      <c r="K172" s="15"/>
      <c r="L172" s="16"/>
      <c r="M172" s="16"/>
      <c r="N172" s="15"/>
      <c r="O172" s="15" t="str">
        <f>IF(AND(L172&lt;&gt;"",M172&lt;&gt;""),L172&amp;"-"&amp;M172,"")</f>
        <v/>
      </c>
      <c r="P172" s="14" t="str">
        <f>IF(AND(O172&lt;&gt;"",COUNTIF($O$2:$O$301,O172)&gt;1),"Två gäster på samma plats!","")</f>
        <v/>
      </c>
      <c r="Q172" s="15"/>
    </row>
    <row r="173" spans="1:17" x14ac:dyDescent="0.25">
      <c r="A173" s="15"/>
      <c r="B173" s="15"/>
      <c r="C173" s="15"/>
      <c r="D173" s="15"/>
      <c r="E173" s="15"/>
      <c r="F173" s="15"/>
      <c r="G173" s="15"/>
      <c r="H173" s="15"/>
      <c r="I173" s="15"/>
      <c r="J173" s="15"/>
      <c r="K173" s="15"/>
      <c r="L173" s="16"/>
      <c r="M173" s="16"/>
      <c r="N173" s="15"/>
      <c r="O173" s="15" t="str">
        <f>IF(AND(L173&lt;&gt;"",M173&lt;&gt;""),L173&amp;"-"&amp;M173,"")</f>
        <v/>
      </c>
      <c r="P173" s="14" t="str">
        <f>IF(AND(O173&lt;&gt;"",COUNTIF($O$2:$O$301,O173)&gt;1),"Två gäster på samma plats!","")</f>
        <v/>
      </c>
      <c r="Q173" s="15"/>
    </row>
    <row r="174" spans="1:17" x14ac:dyDescent="0.25">
      <c r="A174" s="15"/>
      <c r="B174" s="15"/>
      <c r="C174" s="15"/>
      <c r="D174" s="15"/>
      <c r="E174" s="15"/>
      <c r="F174" s="15"/>
      <c r="G174" s="15"/>
      <c r="H174" s="15"/>
      <c r="I174" s="15"/>
      <c r="J174" s="15"/>
      <c r="K174" s="15"/>
      <c r="L174" s="16"/>
      <c r="M174" s="16"/>
      <c r="N174" s="15"/>
      <c r="O174" s="15" t="str">
        <f>IF(AND(L174&lt;&gt;"",M174&lt;&gt;""),L174&amp;"-"&amp;M174,"")</f>
        <v/>
      </c>
      <c r="P174" s="14" t="str">
        <f>IF(AND(O174&lt;&gt;"",COUNTIF($O$2:$O$301,O174)&gt;1),"Två gäster på samma plats!","")</f>
        <v/>
      </c>
      <c r="Q174" s="15"/>
    </row>
    <row r="175" spans="1:17" x14ac:dyDescent="0.25">
      <c r="A175" s="15"/>
      <c r="B175" s="15"/>
      <c r="C175" s="15"/>
      <c r="D175" s="15"/>
      <c r="E175" s="15"/>
      <c r="F175" s="15"/>
      <c r="G175" s="15"/>
      <c r="H175" s="15"/>
      <c r="I175" s="15"/>
      <c r="J175" s="15"/>
      <c r="K175" s="15"/>
      <c r="L175" s="16"/>
      <c r="M175" s="16"/>
      <c r="N175" s="15"/>
      <c r="O175" s="15" t="str">
        <f>IF(AND(L175&lt;&gt;"",M175&lt;&gt;""),L175&amp;"-"&amp;M175,"")</f>
        <v/>
      </c>
      <c r="P175" s="14" t="str">
        <f>IF(AND(O175&lt;&gt;"",COUNTIF($O$2:$O$301,O175)&gt;1),"Två gäster på samma plats!","")</f>
        <v/>
      </c>
      <c r="Q175" s="15"/>
    </row>
    <row r="176" spans="1:17" x14ac:dyDescent="0.25">
      <c r="A176" s="15"/>
      <c r="B176" s="15"/>
      <c r="C176" s="15"/>
      <c r="D176" s="15"/>
      <c r="E176" s="15"/>
      <c r="F176" s="15"/>
      <c r="G176" s="15"/>
      <c r="H176" s="15"/>
      <c r="I176" s="15"/>
      <c r="J176" s="15"/>
      <c r="K176" s="15"/>
      <c r="L176" s="16"/>
      <c r="M176" s="16"/>
      <c r="N176" s="15"/>
      <c r="O176" s="15" t="str">
        <f>IF(AND(L176&lt;&gt;"",M176&lt;&gt;""),L176&amp;"-"&amp;M176,"")</f>
        <v/>
      </c>
      <c r="P176" s="14" t="str">
        <f>IF(AND(O176&lt;&gt;"",COUNTIF($O$2:$O$301,O176)&gt;1),"Två gäster på samma plats!","")</f>
        <v/>
      </c>
      <c r="Q176" s="15"/>
    </row>
    <row r="177" spans="1:17" x14ac:dyDescent="0.25">
      <c r="A177" s="15"/>
      <c r="B177" s="15"/>
      <c r="C177" s="15"/>
      <c r="D177" s="15"/>
      <c r="E177" s="15"/>
      <c r="F177" s="15"/>
      <c r="G177" s="15"/>
      <c r="H177" s="15"/>
      <c r="I177" s="15"/>
      <c r="J177" s="15"/>
      <c r="K177" s="15"/>
      <c r="L177" s="16"/>
      <c r="M177" s="16"/>
      <c r="N177" s="15"/>
      <c r="O177" s="15" t="str">
        <f>IF(AND(L177&lt;&gt;"",M177&lt;&gt;""),L177&amp;"-"&amp;M177,"")</f>
        <v/>
      </c>
      <c r="P177" s="14" t="str">
        <f>IF(AND(O177&lt;&gt;"",COUNTIF($O$2:$O$301,O177)&gt;1),"Två gäster på samma plats!","")</f>
        <v/>
      </c>
      <c r="Q177" s="15"/>
    </row>
    <row r="178" spans="1:17" x14ac:dyDescent="0.25">
      <c r="A178" s="15"/>
      <c r="B178" s="15"/>
      <c r="C178" s="15"/>
      <c r="D178" s="15"/>
      <c r="E178" s="15"/>
      <c r="F178" s="15"/>
      <c r="G178" s="15"/>
      <c r="H178" s="15"/>
      <c r="I178" s="15"/>
      <c r="J178" s="15"/>
      <c r="K178" s="15"/>
      <c r="L178" s="16"/>
      <c r="M178" s="16"/>
      <c r="N178" s="15"/>
      <c r="O178" s="15" t="str">
        <f>IF(AND(L178&lt;&gt;"",M178&lt;&gt;""),L178&amp;"-"&amp;M178,"")</f>
        <v/>
      </c>
      <c r="P178" s="14" t="str">
        <f>IF(AND(O178&lt;&gt;"",COUNTIF($O$2:$O$301,O178)&gt;1),"Två gäster på samma plats!","")</f>
        <v/>
      </c>
      <c r="Q178" s="15"/>
    </row>
    <row r="179" spans="1:17" x14ac:dyDescent="0.25">
      <c r="A179" s="15"/>
      <c r="B179" s="15"/>
      <c r="C179" s="15"/>
      <c r="D179" s="15"/>
      <c r="E179" s="15"/>
      <c r="F179" s="15"/>
      <c r="G179" s="15"/>
      <c r="H179" s="15"/>
      <c r="I179" s="15"/>
      <c r="J179" s="15"/>
      <c r="K179" s="15"/>
      <c r="L179" s="16"/>
      <c r="M179" s="16"/>
      <c r="N179" s="15"/>
      <c r="O179" s="15" t="str">
        <f>IF(AND(L179&lt;&gt;"",M179&lt;&gt;""),L179&amp;"-"&amp;M179,"")</f>
        <v/>
      </c>
      <c r="P179" s="14" t="str">
        <f>IF(AND(O179&lt;&gt;"",COUNTIF($O$2:$O$301,O179)&gt;1),"Två gäster på samma plats!","")</f>
        <v/>
      </c>
      <c r="Q179" s="15"/>
    </row>
    <row r="180" spans="1:17" x14ac:dyDescent="0.25">
      <c r="A180" s="15"/>
      <c r="B180" s="15"/>
      <c r="C180" s="15"/>
      <c r="D180" s="15"/>
      <c r="E180" s="15"/>
      <c r="F180" s="15"/>
      <c r="G180" s="15"/>
      <c r="H180" s="15"/>
      <c r="I180" s="15"/>
      <c r="J180" s="15"/>
      <c r="K180" s="15"/>
      <c r="L180" s="16"/>
      <c r="M180" s="16"/>
      <c r="N180" s="15"/>
      <c r="O180" s="15" t="str">
        <f>IF(AND(L180&lt;&gt;"",M180&lt;&gt;""),L180&amp;"-"&amp;M180,"")</f>
        <v/>
      </c>
      <c r="P180" s="14" t="str">
        <f>IF(AND(O180&lt;&gt;"",COUNTIF($O$2:$O$301,O180)&gt;1),"Två gäster på samma plats!","")</f>
        <v/>
      </c>
      <c r="Q180" s="15"/>
    </row>
    <row r="181" spans="1:17" x14ac:dyDescent="0.25">
      <c r="A181" s="15"/>
      <c r="B181" s="15"/>
      <c r="C181" s="15"/>
      <c r="D181" s="15"/>
      <c r="E181" s="15"/>
      <c r="F181" s="15"/>
      <c r="G181" s="15"/>
      <c r="H181" s="15"/>
      <c r="I181" s="15"/>
      <c r="J181" s="15"/>
      <c r="K181" s="15"/>
      <c r="L181" s="16"/>
      <c r="M181" s="16"/>
      <c r="N181" s="15"/>
      <c r="O181" s="15" t="str">
        <f>IF(AND(L181&lt;&gt;"",M181&lt;&gt;""),L181&amp;"-"&amp;M181,"")</f>
        <v/>
      </c>
      <c r="P181" s="14" t="str">
        <f>IF(AND(O181&lt;&gt;"",COUNTIF($O$2:$O$301,O181)&gt;1),"Två gäster på samma plats!","")</f>
        <v/>
      </c>
      <c r="Q181" s="15"/>
    </row>
    <row r="182" spans="1:17" x14ac:dyDescent="0.25">
      <c r="A182" s="15"/>
      <c r="B182" s="15"/>
      <c r="C182" s="15"/>
      <c r="D182" s="15"/>
      <c r="E182" s="15"/>
      <c r="F182" s="15"/>
      <c r="G182" s="15"/>
      <c r="H182" s="15"/>
      <c r="I182" s="15"/>
      <c r="J182" s="15"/>
      <c r="K182" s="15"/>
      <c r="L182" s="16"/>
      <c r="M182" s="16"/>
      <c r="N182" s="15"/>
      <c r="O182" s="15" t="str">
        <f>IF(AND(L182&lt;&gt;"",M182&lt;&gt;""),L182&amp;"-"&amp;M182,"")</f>
        <v/>
      </c>
      <c r="P182" s="14" t="str">
        <f>IF(AND(O182&lt;&gt;"",COUNTIF($O$2:$O$301,O182)&gt;1),"Två gäster på samma plats!","")</f>
        <v/>
      </c>
      <c r="Q182" s="15"/>
    </row>
    <row r="183" spans="1:17" x14ac:dyDescent="0.25">
      <c r="A183" s="15"/>
      <c r="B183" s="15"/>
      <c r="C183" s="15"/>
      <c r="D183" s="15"/>
      <c r="E183" s="15"/>
      <c r="F183" s="15"/>
      <c r="G183" s="15"/>
      <c r="H183" s="15"/>
      <c r="I183" s="15"/>
      <c r="J183" s="15"/>
      <c r="K183" s="15"/>
      <c r="L183" s="16"/>
      <c r="M183" s="16"/>
      <c r="N183" s="15"/>
      <c r="O183" s="15" t="str">
        <f>IF(AND(L183&lt;&gt;"",M183&lt;&gt;""),L183&amp;"-"&amp;M183,"")</f>
        <v/>
      </c>
      <c r="P183" s="14" t="str">
        <f>IF(AND(O183&lt;&gt;"",COUNTIF($O$2:$O$301,O183)&gt;1),"Två gäster på samma plats!","")</f>
        <v/>
      </c>
      <c r="Q183" s="15"/>
    </row>
    <row r="184" spans="1:17" x14ac:dyDescent="0.25">
      <c r="A184" s="15"/>
      <c r="B184" s="15"/>
      <c r="C184" s="15"/>
      <c r="D184" s="15"/>
      <c r="E184" s="15"/>
      <c r="F184" s="15"/>
      <c r="G184" s="15"/>
      <c r="H184" s="15"/>
      <c r="I184" s="15"/>
      <c r="J184" s="15"/>
      <c r="K184" s="15"/>
      <c r="L184" s="16"/>
      <c r="M184" s="16"/>
      <c r="N184" s="15"/>
      <c r="O184" s="15" t="str">
        <f>IF(AND(L184&lt;&gt;"",M184&lt;&gt;""),L184&amp;"-"&amp;M184,"")</f>
        <v/>
      </c>
      <c r="P184" s="14" t="str">
        <f>IF(AND(O184&lt;&gt;"",COUNTIF($O$2:$O$301,O184)&gt;1),"Två gäster på samma plats!","")</f>
        <v/>
      </c>
      <c r="Q184" s="15"/>
    </row>
    <row r="185" spans="1:17" x14ac:dyDescent="0.25">
      <c r="A185" s="15"/>
      <c r="B185" s="15"/>
      <c r="C185" s="15"/>
      <c r="D185" s="15"/>
      <c r="E185" s="15"/>
      <c r="F185" s="15"/>
      <c r="G185" s="15"/>
      <c r="H185" s="15"/>
      <c r="I185" s="15"/>
      <c r="J185" s="15"/>
      <c r="K185" s="15"/>
      <c r="L185" s="16"/>
      <c r="M185" s="16"/>
      <c r="N185" s="15"/>
      <c r="O185" s="15" t="str">
        <f>IF(AND(L185&lt;&gt;"",M185&lt;&gt;""),L185&amp;"-"&amp;M185,"")</f>
        <v/>
      </c>
      <c r="P185" s="14" t="str">
        <f>IF(AND(O185&lt;&gt;"",COUNTIF($O$2:$O$301,O185)&gt;1),"Två gäster på samma plats!","")</f>
        <v/>
      </c>
      <c r="Q185" s="15"/>
    </row>
    <row r="186" spans="1:17" x14ac:dyDescent="0.25">
      <c r="A186" s="15"/>
      <c r="B186" s="15"/>
      <c r="C186" s="15"/>
      <c r="D186" s="15"/>
      <c r="E186" s="15"/>
      <c r="F186" s="15"/>
      <c r="G186" s="15"/>
      <c r="H186" s="15"/>
      <c r="I186" s="15"/>
      <c r="J186" s="15"/>
      <c r="K186" s="15"/>
      <c r="L186" s="16"/>
      <c r="M186" s="16"/>
      <c r="N186" s="15"/>
      <c r="O186" s="15" t="str">
        <f>IF(AND(L186&lt;&gt;"",M186&lt;&gt;""),L186&amp;"-"&amp;M186,"")</f>
        <v/>
      </c>
      <c r="P186" s="14" t="str">
        <f>IF(AND(O186&lt;&gt;"",COUNTIF($O$2:$O$301,O186)&gt;1),"Två gäster på samma plats!","")</f>
        <v/>
      </c>
      <c r="Q186" s="15"/>
    </row>
    <row r="187" spans="1:17" x14ac:dyDescent="0.25">
      <c r="A187" s="15"/>
      <c r="B187" s="15"/>
      <c r="C187" s="15"/>
      <c r="D187" s="15"/>
      <c r="E187" s="15"/>
      <c r="F187" s="15"/>
      <c r="G187" s="15"/>
      <c r="H187" s="15"/>
      <c r="I187" s="15"/>
      <c r="J187" s="15"/>
      <c r="K187" s="15"/>
      <c r="L187" s="16"/>
      <c r="M187" s="16"/>
      <c r="N187" s="15"/>
      <c r="O187" s="15" t="str">
        <f>IF(AND(L187&lt;&gt;"",M187&lt;&gt;""),L187&amp;"-"&amp;M187,"")</f>
        <v/>
      </c>
      <c r="P187" s="14" t="str">
        <f>IF(AND(O187&lt;&gt;"",COUNTIF($O$2:$O$301,O187)&gt;1),"Två gäster på samma plats!","")</f>
        <v/>
      </c>
      <c r="Q187" s="15"/>
    </row>
    <row r="188" spans="1:17" x14ac:dyDescent="0.25">
      <c r="A188" s="15"/>
      <c r="B188" s="15"/>
      <c r="C188" s="15"/>
      <c r="D188" s="15"/>
      <c r="E188" s="15"/>
      <c r="F188" s="15"/>
      <c r="G188" s="15"/>
      <c r="H188" s="15"/>
      <c r="I188" s="15"/>
      <c r="J188" s="15"/>
      <c r="K188" s="15"/>
      <c r="L188" s="16"/>
      <c r="M188" s="16"/>
      <c r="N188" s="15"/>
      <c r="O188" s="15" t="str">
        <f>IF(AND(L188&lt;&gt;"",M188&lt;&gt;""),L188&amp;"-"&amp;M188,"")</f>
        <v/>
      </c>
      <c r="P188" s="14" t="str">
        <f>IF(AND(O188&lt;&gt;"",COUNTIF($O$2:$O$301,O188)&gt;1),"Två gäster på samma plats!","")</f>
        <v/>
      </c>
      <c r="Q188" s="15"/>
    </row>
    <row r="189" spans="1:17" x14ac:dyDescent="0.25">
      <c r="A189" s="15"/>
      <c r="B189" s="15"/>
      <c r="C189" s="15"/>
      <c r="D189" s="15"/>
      <c r="E189" s="15"/>
      <c r="F189" s="15"/>
      <c r="G189" s="15"/>
      <c r="H189" s="15"/>
      <c r="I189" s="15"/>
      <c r="J189" s="15"/>
      <c r="K189" s="15"/>
      <c r="L189" s="16"/>
      <c r="M189" s="16"/>
      <c r="N189" s="15"/>
      <c r="O189" s="15" t="str">
        <f>IF(AND(L189&lt;&gt;"",M189&lt;&gt;""),L189&amp;"-"&amp;M189,"")</f>
        <v/>
      </c>
      <c r="P189" s="14" t="str">
        <f>IF(AND(O189&lt;&gt;"",COUNTIF($O$2:$O$301,O189)&gt;1),"Två gäster på samma plats!","")</f>
        <v/>
      </c>
      <c r="Q189" s="15"/>
    </row>
    <row r="190" spans="1:17" x14ac:dyDescent="0.25">
      <c r="A190" s="15"/>
      <c r="B190" s="15"/>
      <c r="C190" s="15"/>
      <c r="D190" s="15"/>
      <c r="E190" s="15"/>
      <c r="F190" s="15"/>
      <c r="G190" s="15"/>
      <c r="H190" s="15"/>
      <c r="I190" s="15"/>
      <c r="J190" s="15"/>
      <c r="K190" s="15"/>
      <c r="L190" s="16"/>
      <c r="M190" s="16"/>
      <c r="N190" s="15"/>
      <c r="O190" s="15" t="str">
        <f>IF(AND(L190&lt;&gt;"",M190&lt;&gt;""),L190&amp;"-"&amp;M190,"")</f>
        <v/>
      </c>
      <c r="P190" s="14" t="str">
        <f>IF(AND(O190&lt;&gt;"",COUNTIF($O$2:$O$301,O190)&gt;1),"Två gäster på samma plats!","")</f>
        <v/>
      </c>
      <c r="Q190" s="15"/>
    </row>
    <row r="191" spans="1:17" x14ac:dyDescent="0.25">
      <c r="A191" s="15"/>
      <c r="B191" s="15"/>
      <c r="C191" s="15"/>
      <c r="D191" s="15"/>
      <c r="E191" s="15"/>
      <c r="F191" s="15"/>
      <c r="G191" s="15"/>
      <c r="H191" s="15"/>
      <c r="I191" s="15"/>
      <c r="J191" s="15"/>
      <c r="K191" s="15"/>
      <c r="L191" s="16"/>
      <c r="M191" s="16"/>
      <c r="N191" s="15"/>
      <c r="O191" s="15" t="str">
        <f>IF(AND(L191&lt;&gt;"",M191&lt;&gt;""),L191&amp;"-"&amp;M191,"")</f>
        <v/>
      </c>
      <c r="P191" s="14" t="str">
        <f>IF(AND(O191&lt;&gt;"",COUNTIF($O$2:$O$301,O191)&gt;1),"Två gäster på samma plats!","")</f>
        <v/>
      </c>
      <c r="Q191" s="15"/>
    </row>
    <row r="192" spans="1:17" x14ac:dyDescent="0.25">
      <c r="A192" s="15"/>
      <c r="B192" s="15"/>
      <c r="C192" s="15"/>
      <c r="D192" s="15"/>
      <c r="E192" s="15"/>
      <c r="F192" s="15"/>
      <c r="G192" s="15"/>
      <c r="H192" s="15"/>
      <c r="I192" s="15"/>
      <c r="J192" s="15"/>
      <c r="K192" s="15"/>
      <c r="L192" s="16"/>
      <c r="M192" s="16"/>
      <c r="N192" s="15"/>
      <c r="O192" s="15" t="str">
        <f>IF(AND(L192&lt;&gt;"",M192&lt;&gt;""),L192&amp;"-"&amp;M192,"")</f>
        <v/>
      </c>
      <c r="P192" s="14" t="str">
        <f>IF(AND(O192&lt;&gt;"",COUNTIF($O$2:$O$301,O192)&gt;1),"Två gäster på samma plats!","")</f>
        <v/>
      </c>
      <c r="Q192" s="15"/>
    </row>
    <row r="193" spans="1:17" x14ac:dyDescent="0.25">
      <c r="A193" s="15"/>
      <c r="B193" s="15"/>
      <c r="C193" s="15"/>
      <c r="D193" s="15"/>
      <c r="E193" s="15"/>
      <c r="F193" s="15"/>
      <c r="G193" s="15"/>
      <c r="H193" s="15"/>
      <c r="I193" s="15"/>
      <c r="J193" s="15"/>
      <c r="K193" s="15"/>
      <c r="L193" s="16"/>
      <c r="M193" s="16"/>
      <c r="N193" s="15"/>
      <c r="O193" s="15" t="str">
        <f>IF(AND(L193&lt;&gt;"",M193&lt;&gt;""),L193&amp;"-"&amp;M193,"")</f>
        <v/>
      </c>
      <c r="P193" s="14" t="str">
        <f>IF(AND(O193&lt;&gt;"",COUNTIF($O$2:$O$301,O193)&gt;1),"Två gäster på samma plats!","")</f>
        <v/>
      </c>
      <c r="Q193" s="15"/>
    </row>
    <row r="194" spans="1:17" x14ac:dyDescent="0.25">
      <c r="A194" s="15"/>
      <c r="B194" s="15"/>
      <c r="C194" s="15"/>
      <c r="D194" s="15"/>
      <c r="E194" s="15"/>
      <c r="F194" s="15"/>
      <c r="G194" s="15"/>
      <c r="H194" s="15"/>
      <c r="I194" s="15"/>
      <c r="J194" s="15"/>
      <c r="K194" s="15"/>
      <c r="L194" s="16"/>
      <c r="M194" s="16"/>
      <c r="N194" s="15"/>
      <c r="O194" s="15" t="str">
        <f>IF(AND(L194&lt;&gt;"",M194&lt;&gt;""),L194&amp;"-"&amp;M194,"")</f>
        <v/>
      </c>
      <c r="P194" s="14" t="str">
        <f>IF(AND(O194&lt;&gt;"",COUNTIF($O$2:$O$301,O194)&gt;1),"Två gäster på samma plats!","")</f>
        <v/>
      </c>
      <c r="Q194" s="15"/>
    </row>
    <row r="195" spans="1:17" x14ac:dyDescent="0.25">
      <c r="A195" s="15"/>
      <c r="B195" s="15"/>
      <c r="C195" s="15"/>
      <c r="D195" s="15"/>
      <c r="E195" s="15"/>
      <c r="F195" s="15"/>
      <c r="G195" s="15"/>
      <c r="H195" s="15"/>
      <c r="I195" s="15"/>
      <c r="J195" s="15"/>
      <c r="K195" s="15"/>
      <c r="L195" s="16"/>
      <c r="M195" s="16"/>
      <c r="N195" s="15"/>
      <c r="O195" s="15" t="str">
        <f>IF(AND(L195&lt;&gt;"",M195&lt;&gt;""),L195&amp;"-"&amp;M195,"")</f>
        <v/>
      </c>
      <c r="P195" s="14" t="str">
        <f>IF(AND(O195&lt;&gt;"",COUNTIF($O$2:$O$301,O195)&gt;1),"Två gäster på samma plats!","")</f>
        <v/>
      </c>
      <c r="Q195" s="15"/>
    </row>
    <row r="196" spans="1:17" x14ac:dyDescent="0.25">
      <c r="A196" s="15"/>
      <c r="B196" s="15"/>
      <c r="C196" s="15"/>
      <c r="D196" s="15"/>
      <c r="E196" s="15"/>
      <c r="F196" s="15"/>
      <c r="G196" s="15"/>
      <c r="H196" s="15"/>
      <c r="I196" s="15"/>
      <c r="J196" s="15"/>
      <c r="K196" s="15"/>
      <c r="L196" s="16"/>
      <c r="M196" s="16"/>
      <c r="N196" s="15"/>
      <c r="O196" s="15" t="str">
        <f>IF(AND(L196&lt;&gt;"",M196&lt;&gt;""),L196&amp;"-"&amp;M196,"")</f>
        <v/>
      </c>
      <c r="P196" s="14" t="str">
        <f>IF(AND(O196&lt;&gt;"",COUNTIF($O$2:$O$301,O196)&gt;1),"Två gäster på samma plats!","")</f>
        <v/>
      </c>
      <c r="Q196" s="15"/>
    </row>
    <row r="197" spans="1:17" x14ac:dyDescent="0.25">
      <c r="A197" s="15"/>
      <c r="B197" s="15"/>
      <c r="C197" s="15"/>
      <c r="D197" s="15"/>
      <c r="E197" s="15"/>
      <c r="F197" s="15"/>
      <c r="G197" s="15"/>
      <c r="H197" s="15"/>
      <c r="I197" s="15"/>
      <c r="J197" s="15"/>
      <c r="K197" s="15"/>
      <c r="L197" s="16"/>
      <c r="M197" s="16"/>
      <c r="N197" s="15"/>
      <c r="O197" s="15" t="str">
        <f>IF(AND(L197&lt;&gt;"",M197&lt;&gt;""),L197&amp;"-"&amp;M197,"")</f>
        <v/>
      </c>
      <c r="P197" s="14" t="str">
        <f>IF(AND(O197&lt;&gt;"",COUNTIF($O$2:$O$301,O197)&gt;1),"Två gäster på samma plats!","")</f>
        <v/>
      </c>
      <c r="Q197" s="15"/>
    </row>
    <row r="198" spans="1:17" x14ac:dyDescent="0.25">
      <c r="A198" s="15"/>
      <c r="B198" s="15"/>
      <c r="C198" s="15"/>
      <c r="D198" s="15"/>
      <c r="E198" s="15"/>
      <c r="F198" s="15"/>
      <c r="G198" s="15"/>
      <c r="H198" s="15"/>
      <c r="I198" s="15"/>
      <c r="J198" s="15"/>
      <c r="K198" s="15"/>
      <c r="L198" s="16"/>
      <c r="M198" s="16"/>
      <c r="N198" s="15"/>
      <c r="O198" s="15" t="str">
        <f>IF(AND(L198&lt;&gt;"",M198&lt;&gt;""),L198&amp;"-"&amp;M198,"")</f>
        <v/>
      </c>
      <c r="P198" s="14" t="str">
        <f>IF(AND(O198&lt;&gt;"",COUNTIF($O$2:$O$301,O198)&gt;1),"Två gäster på samma plats!","")</f>
        <v/>
      </c>
      <c r="Q198" s="15"/>
    </row>
    <row r="199" spans="1:17" x14ac:dyDescent="0.25">
      <c r="A199" s="15"/>
      <c r="B199" s="15"/>
      <c r="C199" s="15"/>
      <c r="D199" s="15"/>
      <c r="E199" s="15"/>
      <c r="F199" s="15"/>
      <c r="G199" s="15"/>
      <c r="H199" s="15"/>
      <c r="I199" s="15"/>
      <c r="J199" s="15"/>
      <c r="K199" s="15"/>
      <c r="L199" s="16"/>
      <c r="M199" s="16"/>
      <c r="N199" s="15"/>
      <c r="O199" s="15" t="str">
        <f>IF(AND(L199&lt;&gt;"",M199&lt;&gt;""),L199&amp;"-"&amp;M199,"")</f>
        <v/>
      </c>
      <c r="P199" s="14" t="str">
        <f>IF(AND(O199&lt;&gt;"",COUNTIF($O$2:$O$301,O199)&gt;1),"Två gäster på samma plats!","")</f>
        <v/>
      </c>
      <c r="Q199" s="15"/>
    </row>
    <row r="200" spans="1:17" x14ac:dyDescent="0.25">
      <c r="A200" s="15"/>
      <c r="B200" s="15"/>
      <c r="C200" s="15"/>
      <c r="D200" s="15"/>
      <c r="E200" s="15"/>
      <c r="F200" s="15"/>
      <c r="G200" s="15"/>
      <c r="H200" s="15"/>
      <c r="I200" s="15"/>
      <c r="J200" s="15"/>
      <c r="K200" s="15"/>
      <c r="L200" s="16"/>
      <c r="M200" s="16"/>
      <c r="N200" s="15"/>
      <c r="O200" s="15" t="str">
        <f>IF(AND(L200&lt;&gt;"",M200&lt;&gt;""),L200&amp;"-"&amp;M200,"")</f>
        <v/>
      </c>
      <c r="P200" s="14" t="str">
        <f>IF(AND(O200&lt;&gt;"",COUNTIF($O$2:$O$301,O200)&gt;1),"Två gäster på samma plats!","")</f>
        <v/>
      </c>
      <c r="Q200" s="15"/>
    </row>
    <row r="201" spans="1:17" x14ac:dyDescent="0.25">
      <c r="A201" s="15"/>
      <c r="B201" s="15"/>
      <c r="C201" s="15"/>
      <c r="D201" s="15"/>
      <c r="E201" s="15"/>
      <c r="F201" s="15"/>
      <c r="G201" s="15"/>
      <c r="H201" s="15"/>
      <c r="I201" s="15"/>
      <c r="J201" s="15"/>
      <c r="K201" s="15"/>
      <c r="L201" s="16"/>
      <c r="M201" s="16"/>
      <c r="N201" s="15"/>
      <c r="O201" s="15" t="str">
        <f>IF(AND(L201&lt;&gt;"",M201&lt;&gt;""),L201&amp;"-"&amp;M201,"")</f>
        <v/>
      </c>
      <c r="P201" s="14" t="str">
        <f>IF(AND(O201&lt;&gt;"",COUNTIF($O$2:$O$301,O201)&gt;1),"Två gäster på samma plats!","")</f>
        <v/>
      </c>
      <c r="Q201" s="15"/>
    </row>
    <row r="202" spans="1:17" x14ac:dyDescent="0.25">
      <c r="A202" s="15"/>
      <c r="B202" s="15"/>
      <c r="C202" s="15"/>
      <c r="D202" s="15"/>
      <c r="E202" s="15"/>
      <c r="F202" s="15"/>
      <c r="G202" s="15"/>
      <c r="H202" s="15"/>
      <c r="I202" s="15"/>
      <c r="J202" s="15"/>
      <c r="K202" s="15"/>
      <c r="L202" s="16"/>
      <c r="M202" s="16"/>
      <c r="N202" s="15"/>
      <c r="O202" s="15" t="str">
        <f>IF(AND(L202&lt;&gt;"",M202&lt;&gt;""),L202&amp;"-"&amp;M202,"")</f>
        <v/>
      </c>
      <c r="P202" s="14" t="str">
        <f>IF(AND(O202&lt;&gt;"",COUNTIF($O$2:$O$301,O202)&gt;1),"Två gäster på samma plats!","")</f>
        <v/>
      </c>
      <c r="Q202" s="15"/>
    </row>
    <row r="203" spans="1:17" x14ac:dyDescent="0.25">
      <c r="A203" s="15"/>
      <c r="B203" s="15"/>
      <c r="C203" s="15"/>
      <c r="D203" s="15"/>
      <c r="E203" s="15"/>
      <c r="F203" s="15"/>
      <c r="G203" s="15"/>
      <c r="H203" s="15"/>
      <c r="I203" s="15"/>
      <c r="J203" s="15"/>
      <c r="K203" s="15"/>
      <c r="L203" s="16"/>
      <c r="M203" s="16"/>
      <c r="N203" s="15"/>
      <c r="O203" s="15" t="str">
        <f>IF(AND(L203&lt;&gt;"",M203&lt;&gt;""),L203&amp;"-"&amp;M203,"")</f>
        <v/>
      </c>
      <c r="P203" s="14" t="str">
        <f>IF(AND(O203&lt;&gt;"",COUNTIF($O$2:$O$301,O203)&gt;1),"Två gäster på samma plats!","")</f>
        <v/>
      </c>
      <c r="Q203" s="15"/>
    </row>
    <row r="204" spans="1:17" x14ac:dyDescent="0.25">
      <c r="A204" s="15"/>
      <c r="B204" s="15"/>
      <c r="C204" s="15"/>
      <c r="D204" s="15"/>
      <c r="E204" s="15"/>
      <c r="F204" s="15"/>
      <c r="G204" s="15"/>
      <c r="H204" s="15"/>
      <c r="I204" s="15"/>
      <c r="J204" s="15"/>
      <c r="K204" s="15"/>
      <c r="L204" s="16"/>
      <c r="M204" s="16"/>
      <c r="N204" s="15"/>
      <c r="O204" s="15" t="str">
        <f>IF(AND(L204&lt;&gt;"",M204&lt;&gt;""),L204&amp;"-"&amp;M204,"")</f>
        <v/>
      </c>
      <c r="P204" s="14" t="str">
        <f>IF(AND(O204&lt;&gt;"",COUNTIF($O$2:$O$301,O204)&gt;1),"Två gäster på samma plats!","")</f>
        <v/>
      </c>
      <c r="Q204" s="15"/>
    </row>
    <row r="205" spans="1:17" x14ac:dyDescent="0.25">
      <c r="A205" s="15"/>
      <c r="B205" s="15"/>
      <c r="C205" s="15"/>
      <c r="D205" s="15"/>
      <c r="E205" s="15"/>
      <c r="F205" s="15"/>
      <c r="G205" s="15"/>
      <c r="H205" s="15"/>
      <c r="I205" s="15"/>
      <c r="J205" s="15"/>
      <c r="K205" s="15"/>
      <c r="L205" s="16"/>
      <c r="M205" s="16"/>
      <c r="N205" s="15"/>
      <c r="O205" s="15" t="str">
        <f>IF(AND(L205&lt;&gt;"",M205&lt;&gt;""),L205&amp;"-"&amp;M205,"")</f>
        <v/>
      </c>
      <c r="P205" s="14" t="str">
        <f>IF(AND(O205&lt;&gt;"",COUNTIF($O$2:$O$301,O205)&gt;1),"Två gäster på samma plats!","")</f>
        <v/>
      </c>
      <c r="Q205" s="15"/>
    </row>
    <row r="206" spans="1:17" x14ac:dyDescent="0.25">
      <c r="A206" s="15"/>
      <c r="B206" s="15"/>
      <c r="C206" s="15"/>
      <c r="D206" s="15"/>
      <c r="E206" s="15"/>
      <c r="F206" s="15"/>
      <c r="G206" s="15"/>
      <c r="H206" s="15"/>
      <c r="I206" s="15"/>
      <c r="J206" s="15"/>
      <c r="K206" s="15"/>
      <c r="L206" s="16"/>
      <c r="M206" s="16"/>
      <c r="N206" s="15"/>
      <c r="O206" s="15" t="str">
        <f>IF(AND(L206&lt;&gt;"",M206&lt;&gt;""),L206&amp;"-"&amp;M206,"")</f>
        <v/>
      </c>
      <c r="P206" s="14" t="str">
        <f>IF(AND(O206&lt;&gt;"",COUNTIF($O$2:$O$301,O206)&gt;1),"Två gäster på samma plats!","")</f>
        <v/>
      </c>
      <c r="Q206" s="15"/>
    </row>
    <row r="207" spans="1:17" x14ac:dyDescent="0.25">
      <c r="A207" s="15"/>
      <c r="B207" s="15"/>
      <c r="C207" s="15"/>
      <c r="D207" s="15"/>
      <c r="E207" s="15"/>
      <c r="F207" s="15"/>
      <c r="G207" s="15"/>
      <c r="H207" s="15"/>
      <c r="I207" s="15"/>
      <c r="J207" s="15"/>
      <c r="K207" s="15"/>
      <c r="L207" s="16"/>
      <c r="M207" s="16"/>
      <c r="N207" s="15"/>
      <c r="O207" s="15" t="str">
        <f>IF(AND(L207&lt;&gt;"",M207&lt;&gt;""),L207&amp;"-"&amp;M207,"")</f>
        <v/>
      </c>
      <c r="P207" s="14" t="str">
        <f>IF(AND(O207&lt;&gt;"",COUNTIF($O$2:$O$301,O207)&gt;1),"Två gäster på samma plats!","")</f>
        <v/>
      </c>
      <c r="Q207" s="15"/>
    </row>
    <row r="208" spans="1:17" x14ac:dyDescent="0.25">
      <c r="A208" s="15"/>
      <c r="B208" s="15"/>
      <c r="C208" s="15"/>
      <c r="D208" s="15"/>
      <c r="E208" s="15"/>
      <c r="F208" s="15"/>
      <c r="G208" s="15"/>
      <c r="H208" s="15"/>
      <c r="I208" s="15"/>
      <c r="J208" s="15"/>
      <c r="K208" s="15"/>
      <c r="L208" s="16"/>
      <c r="M208" s="16"/>
      <c r="N208" s="15"/>
      <c r="O208" s="15" t="str">
        <f>IF(AND(L208&lt;&gt;"",M208&lt;&gt;""),L208&amp;"-"&amp;M208,"")</f>
        <v/>
      </c>
      <c r="P208" s="14" t="str">
        <f>IF(AND(O208&lt;&gt;"",COUNTIF($O$2:$O$301,O208)&gt;1),"Två gäster på samma plats!","")</f>
        <v/>
      </c>
      <c r="Q208" s="15"/>
    </row>
    <row r="209" spans="1:17" x14ac:dyDescent="0.25">
      <c r="A209" s="15"/>
      <c r="B209" s="15"/>
      <c r="C209" s="15"/>
      <c r="D209" s="15"/>
      <c r="E209" s="15"/>
      <c r="F209" s="15"/>
      <c r="G209" s="15"/>
      <c r="H209" s="15"/>
      <c r="I209" s="15"/>
      <c r="J209" s="15"/>
      <c r="K209" s="15"/>
      <c r="L209" s="16"/>
      <c r="M209" s="16"/>
      <c r="N209" s="15"/>
      <c r="O209" s="15" t="str">
        <f>IF(AND(L209&lt;&gt;"",M209&lt;&gt;""),L209&amp;"-"&amp;M209,"")</f>
        <v/>
      </c>
      <c r="P209" s="14" t="str">
        <f>IF(AND(O209&lt;&gt;"",COUNTIF($O$2:$O$301,O209)&gt;1),"Två gäster på samma plats!","")</f>
        <v/>
      </c>
      <c r="Q209" s="15"/>
    </row>
    <row r="210" spans="1:17" x14ac:dyDescent="0.25">
      <c r="A210" s="15"/>
      <c r="B210" s="15"/>
      <c r="C210" s="15"/>
      <c r="D210" s="15"/>
      <c r="E210" s="15"/>
      <c r="F210" s="15"/>
      <c r="G210" s="15"/>
      <c r="H210" s="15"/>
      <c r="I210" s="15"/>
      <c r="J210" s="15"/>
      <c r="K210" s="15"/>
      <c r="L210" s="16"/>
      <c r="M210" s="16"/>
      <c r="N210" s="15"/>
      <c r="O210" s="15" t="str">
        <f>IF(AND(L210&lt;&gt;"",M210&lt;&gt;""),L210&amp;"-"&amp;M210,"")</f>
        <v/>
      </c>
      <c r="P210" s="14" t="str">
        <f>IF(AND(O210&lt;&gt;"",COUNTIF($O$2:$O$301,O210)&gt;1),"Två gäster på samma plats!","")</f>
        <v/>
      </c>
      <c r="Q210" s="15"/>
    </row>
    <row r="211" spans="1:17" x14ac:dyDescent="0.25">
      <c r="A211" s="15"/>
      <c r="B211" s="15"/>
      <c r="C211" s="15"/>
      <c r="D211" s="15"/>
      <c r="E211" s="15"/>
      <c r="F211" s="15"/>
      <c r="G211" s="15"/>
      <c r="H211" s="15"/>
      <c r="I211" s="15"/>
      <c r="J211" s="15"/>
      <c r="K211" s="15"/>
      <c r="L211" s="16"/>
      <c r="M211" s="16"/>
      <c r="N211" s="15"/>
      <c r="O211" s="15" t="str">
        <f>IF(AND(L211&lt;&gt;"",M211&lt;&gt;""),L211&amp;"-"&amp;M211,"")</f>
        <v/>
      </c>
      <c r="P211" s="14" t="str">
        <f>IF(AND(O211&lt;&gt;"",COUNTIF($O$2:$O$301,O211)&gt;1),"Två gäster på samma plats!","")</f>
        <v/>
      </c>
      <c r="Q211" s="15"/>
    </row>
    <row r="212" spans="1:17" x14ac:dyDescent="0.25">
      <c r="A212" s="15"/>
      <c r="B212" s="15"/>
      <c r="C212" s="15"/>
      <c r="D212" s="15"/>
      <c r="E212" s="15"/>
      <c r="F212" s="15"/>
      <c r="G212" s="15"/>
      <c r="H212" s="15"/>
      <c r="I212" s="15"/>
      <c r="J212" s="15"/>
      <c r="K212" s="15"/>
      <c r="L212" s="16"/>
      <c r="M212" s="16"/>
      <c r="N212" s="15"/>
      <c r="O212" s="15" t="str">
        <f>IF(AND(L212&lt;&gt;"",M212&lt;&gt;""),L212&amp;"-"&amp;M212,"")</f>
        <v/>
      </c>
      <c r="P212" s="14" t="str">
        <f>IF(AND(O212&lt;&gt;"",COUNTIF($O$2:$O$301,O212)&gt;1),"Två gäster på samma plats!","")</f>
        <v/>
      </c>
      <c r="Q212" s="15"/>
    </row>
    <row r="213" spans="1:17" x14ac:dyDescent="0.25">
      <c r="A213" s="15"/>
      <c r="B213" s="15"/>
      <c r="C213" s="15"/>
      <c r="D213" s="15"/>
      <c r="E213" s="15"/>
      <c r="F213" s="15"/>
      <c r="G213" s="15"/>
      <c r="H213" s="15"/>
      <c r="I213" s="15"/>
      <c r="J213" s="15"/>
      <c r="K213" s="15"/>
      <c r="L213" s="16"/>
      <c r="M213" s="16"/>
      <c r="N213" s="15"/>
      <c r="O213" s="15" t="str">
        <f>IF(AND(L213&lt;&gt;"",M213&lt;&gt;""),L213&amp;"-"&amp;M213,"")</f>
        <v/>
      </c>
      <c r="P213" s="14" t="str">
        <f>IF(AND(O213&lt;&gt;"",COUNTIF($O$2:$O$301,O213)&gt;1),"Två gäster på samma plats!","")</f>
        <v/>
      </c>
      <c r="Q213" s="15"/>
    </row>
    <row r="214" spans="1:17" x14ac:dyDescent="0.25">
      <c r="A214" s="15"/>
      <c r="B214" s="15"/>
      <c r="C214" s="15"/>
      <c r="D214" s="15"/>
      <c r="E214" s="15"/>
      <c r="F214" s="15"/>
      <c r="G214" s="15"/>
      <c r="H214" s="15"/>
      <c r="I214" s="15"/>
      <c r="J214" s="15"/>
      <c r="K214" s="15"/>
      <c r="L214" s="16"/>
      <c r="M214" s="16"/>
      <c r="N214" s="15"/>
      <c r="O214" s="15" t="str">
        <f>IF(AND(L214&lt;&gt;"",M214&lt;&gt;""),L214&amp;"-"&amp;M214,"")</f>
        <v/>
      </c>
      <c r="P214" s="14" t="str">
        <f>IF(AND(O214&lt;&gt;"",COUNTIF($O$2:$O$301,O214)&gt;1),"Två gäster på samma plats!","")</f>
        <v/>
      </c>
      <c r="Q214" s="15"/>
    </row>
    <row r="215" spans="1:17" x14ac:dyDescent="0.25">
      <c r="A215" s="15"/>
      <c r="B215" s="15"/>
      <c r="C215" s="15"/>
      <c r="D215" s="15"/>
      <c r="E215" s="15"/>
      <c r="F215" s="15"/>
      <c r="G215" s="15"/>
      <c r="H215" s="15"/>
      <c r="I215" s="15"/>
      <c r="J215" s="15"/>
      <c r="K215" s="15"/>
      <c r="L215" s="16"/>
      <c r="M215" s="16"/>
      <c r="N215" s="15"/>
      <c r="O215" s="15" t="str">
        <f>IF(AND(L215&lt;&gt;"",M215&lt;&gt;""),L215&amp;"-"&amp;M215,"")</f>
        <v/>
      </c>
      <c r="P215" s="14" t="str">
        <f>IF(AND(O215&lt;&gt;"",COUNTIF($O$2:$O$301,O215)&gt;1),"Två gäster på samma plats!","")</f>
        <v/>
      </c>
      <c r="Q215" s="15"/>
    </row>
    <row r="216" spans="1:17" x14ac:dyDescent="0.25">
      <c r="A216" s="15"/>
      <c r="B216" s="15"/>
      <c r="C216" s="15"/>
      <c r="D216" s="15"/>
      <c r="E216" s="15"/>
      <c r="F216" s="15"/>
      <c r="G216" s="15"/>
      <c r="H216" s="15"/>
      <c r="I216" s="15"/>
      <c r="J216" s="15"/>
      <c r="K216" s="15"/>
      <c r="L216" s="16"/>
      <c r="M216" s="16"/>
      <c r="N216" s="15"/>
      <c r="O216" s="15" t="str">
        <f>IF(AND(L216&lt;&gt;"",M216&lt;&gt;""),L216&amp;"-"&amp;M216,"")</f>
        <v/>
      </c>
      <c r="P216" s="14" t="str">
        <f>IF(AND(O216&lt;&gt;"",COUNTIF($O$2:$O$301,O216)&gt;1),"Två gäster på samma plats!","")</f>
        <v/>
      </c>
      <c r="Q216" s="15"/>
    </row>
    <row r="217" spans="1:17" x14ac:dyDescent="0.25">
      <c r="A217" s="15"/>
      <c r="B217" s="15"/>
      <c r="C217" s="15"/>
      <c r="D217" s="15"/>
      <c r="E217" s="15"/>
      <c r="F217" s="15"/>
      <c r="G217" s="15"/>
      <c r="H217" s="15"/>
      <c r="I217" s="15"/>
      <c r="J217" s="15"/>
      <c r="K217" s="15"/>
      <c r="L217" s="16"/>
      <c r="M217" s="16"/>
      <c r="N217" s="15"/>
      <c r="O217" s="15" t="str">
        <f>IF(AND(L217&lt;&gt;"",M217&lt;&gt;""),L217&amp;"-"&amp;M217,"")</f>
        <v/>
      </c>
      <c r="P217" s="14" t="str">
        <f>IF(AND(O217&lt;&gt;"",COUNTIF($O$2:$O$301,O217)&gt;1),"Två gäster på samma plats!","")</f>
        <v/>
      </c>
      <c r="Q217" s="15"/>
    </row>
    <row r="218" spans="1:17" x14ac:dyDescent="0.25">
      <c r="A218" s="15"/>
      <c r="B218" s="15"/>
      <c r="C218" s="15"/>
      <c r="D218" s="15"/>
      <c r="E218" s="15"/>
      <c r="F218" s="15"/>
      <c r="G218" s="15"/>
      <c r="H218" s="15"/>
      <c r="I218" s="15"/>
      <c r="J218" s="15"/>
      <c r="K218" s="15"/>
      <c r="L218" s="16"/>
      <c r="M218" s="16"/>
      <c r="N218" s="15"/>
      <c r="O218" s="15" t="str">
        <f>IF(AND(L218&lt;&gt;"",M218&lt;&gt;""),L218&amp;"-"&amp;M218,"")</f>
        <v/>
      </c>
      <c r="P218" s="14" t="str">
        <f>IF(AND(O218&lt;&gt;"",COUNTIF($O$2:$O$301,O218)&gt;1),"Två gäster på samma plats!","")</f>
        <v/>
      </c>
      <c r="Q218" s="15"/>
    </row>
    <row r="219" spans="1:17" x14ac:dyDescent="0.25">
      <c r="A219" s="15"/>
      <c r="B219" s="15"/>
      <c r="C219" s="15"/>
      <c r="D219" s="15"/>
      <c r="E219" s="15"/>
      <c r="F219" s="15"/>
      <c r="G219" s="15"/>
      <c r="H219" s="15"/>
      <c r="I219" s="15"/>
      <c r="J219" s="15"/>
      <c r="K219" s="15"/>
      <c r="L219" s="16"/>
      <c r="M219" s="16"/>
      <c r="N219" s="15"/>
      <c r="O219" s="15" t="str">
        <f>IF(AND(L219&lt;&gt;"",M219&lt;&gt;""),L219&amp;"-"&amp;M219,"")</f>
        <v/>
      </c>
      <c r="P219" s="14" t="str">
        <f>IF(AND(O219&lt;&gt;"",COUNTIF($O$2:$O$301,O219)&gt;1),"Två gäster på samma plats!","")</f>
        <v/>
      </c>
      <c r="Q219" s="15"/>
    </row>
    <row r="220" spans="1:17" x14ac:dyDescent="0.25">
      <c r="A220" s="15"/>
      <c r="B220" s="15"/>
      <c r="C220" s="15"/>
      <c r="D220" s="15"/>
      <c r="E220" s="15"/>
      <c r="F220" s="15"/>
      <c r="G220" s="15"/>
      <c r="H220" s="15"/>
      <c r="I220" s="15"/>
      <c r="J220" s="15"/>
      <c r="K220" s="15"/>
      <c r="L220" s="16"/>
      <c r="M220" s="16"/>
      <c r="N220" s="15"/>
      <c r="O220" s="15" t="str">
        <f>IF(AND(L220&lt;&gt;"",M220&lt;&gt;""),L220&amp;"-"&amp;M220,"")</f>
        <v/>
      </c>
      <c r="P220" s="14" t="str">
        <f>IF(AND(O220&lt;&gt;"",COUNTIF($O$2:$O$301,O220)&gt;1),"Två gäster på samma plats!","")</f>
        <v/>
      </c>
      <c r="Q220" s="15"/>
    </row>
    <row r="221" spans="1:17" x14ac:dyDescent="0.25">
      <c r="A221" s="15"/>
      <c r="B221" s="15"/>
      <c r="C221" s="15"/>
      <c r="D221" s="15"/>
      <c r="E221" s="15"/>
      <c r="F221" s="15"/>
      <c r="G221" s="15"/>
      <c r="H221" s="15"/>
      <c r="I221" s="15"/>
      <c r="J221" s="15"/>
      <c r="K221" s="15"/>
      <c r="L221" s="16"/>
      <c r="M221" s="16"/>
      <c r="N221" s="15"/>
      <c r="O221" s="15" t="str">
        <f>IF(AND(L221&lt;&gt;"",M221&lt;&gt;""),L221&amp;"-"&amp;M221,"")</f>
        <v/>
      </c>
      <c r="P221" s="14" t="str">
        <f>IF(AND(O221&lt;&gt;"",COUNTIF($O$2:$O$301,O221)&gt;1),"Två gäster på samma plats!","")</f>
        <v/>
      </c>
      <c r="Q221" s="15"/>
    </row>
    <row r="222" spans="1:17" x14ac:dyDescent="0.25">
      <c r="A222" s="15"/>
      <c r="B222" s="15"/>
      <c r="C222" s="15"/>
      <c r="D222" s="15"/>
      <c r="E222" s="15"/>
      <c r="F222" s="15"/>
      <c r="G222" s="15"/>
      <c r="H222" s="15"/>
      <c r="I222" s="15"/>
      <c r="J222" s="15"/>
      <c r="K222" s="15"/>
      <c r="L222" s="16"/>
      <c r="M222" s="16"/>
      <c r="N222" s="15"/>
      <c r="O222" s="15" t="str">
        <f>IF(AND(L222&lt;&gt;"",M222&lt;&gt;""),L222&amp;"-"&amp;M222,"")</f>
        <v/>
      </c>
      <c r="P222" s="14" t="str">
        <f>IF(AND(O222&lt;&gt;"",COUNTIF($O$2:$O$301,O222)&gt;1),"Två gäster på samma plats!","")</f>
        <v/>
      </c>
      <c r="Q222" s="15"/>
    </row>
    <row r="223" spans="1:17" x14ac:dyDescent="0.25">
      <c r="A223" s="15"/>
      <c r="B223" s="15"/>
      <c r="C223" s="15"/>
      <c r="D223" s="15"/>
      <c r="E223" s="15"/>
      <c r="F223" s="15"/>
      <c r="G223" s="15"/>
      <c r="H223" s="15"/>
      <c r="I223" s="15"/>
      <c r="J223" s="15"/>
      <c r="K223" s="15"/>
      <c r="L223" s="16"/>
      <c r="M223" s="16"/>
      <c r="N223" s="15"/>
      <c r="O223" s="15" t="str">
        <f>IF(AND(L223&lt;&gt;"",M223&lt;&gt;""),L223&amp;"-"&amp;M223,"")</f>
        <v/>
      </c>
      <c r="P223" s="14" t="str">
        <f>IF(AND(O223&lt;&gt;"",COUNTIF($O$2:$O$301,O223)&gt;1),"Två gäster på samma plats!","")</f>
        <v/>
      </c>
      <c r="Q223" s="15"/>
    </row>
    <row r="224" spans="1:17" x14ac:dyDescent="0.25">
      <c r="A224" s="15"/>
      <c r="B224" s="15"/>
      <c r="C224" s="15"/>
      <c r="D224" s="15"/>
      <c r="E224" s="15"/>
      <c r="F224" s="15"/>
      <c r="G224" s="15"/>
      <c r="H224" s="15"/>
      <c r="I224" s="15"/>
      <c r="J224" s="15"/>
      <c r="K224" s="15"/>
      <c r="L224" s="16"/>
      <c r="M224" s="16"/>
      <c r="N224" s="15"/>
      <c r="O224" s="15" t="str">
        <f>IF(AND(L224&lt;&gt;"",M224&lt;&gt;""),L224&amp;"-"&amp;M224,"")</f>
        <v/>
      </c>
      <c r="P224" s="14" t="str">
        <f>IF(AND(O224&lt;&gt;"",COUNTIF($O$2:$O$301,O224)&gt;1),"Två gäster på samma plats!","")</f>
        <v/>
      </c>
      <c r="Q224" s="15"/>
    </row>
    <row r="225" spans="1:17" x14ac:dyDescent="0.25">
      <c r="A225" s="15"/>
      <c r="B225" s="15"/>
      <c r="C225" s="15"/>
      <c r="D225" s="15"/>
      <c r="E225" s="15"/>
      <c r="F225" s="15"/>
      <c r="G225" s="15"/>
      <c r="H225" s="15"/>
      <c r="I225" s="15"/>
      <c r="J225" s="15"/>
      <c r="K225" s="15"/>
      <c r="L225" s="16"/>
      <c r="M225" s="16"/>
      <c r="N225" s="15"/>
      <c r="O225" s="15" t="str">
        <f>IF(AND(L225&lt;&gt;"",M225&lt;&gt;""),L225&amp;"-"&amp;M225,"")</f>
        <v/>
      </c>
      <c r="P225" s="14" t="str">
        <f>IF(AND(O225&lt;&gt;"",COUNTIF($O$2:$O$301,O225)&gt;1),"Två gäster på samma plats!","")</f>
        <v/>
      </c>
      <c r="Q225" s="15"/>
    </row>
    <row r="226" spans="1:17" x14ac:dyDescent="0.25">
      <c r="A226" s="15"/>
      <c r="B226" s="15"/>
      <c r="C226" s="15"/>
      <c r="D226" s="15"/>
      <c r="E226" s="15"/>
      <c r="F226" s="15"/>
      <c r="G226" s="15"/>
      <c r="H226" s="15"/>
      <c r="I226" s="15"/>
      <c r="J226" s="15"/>
      <c r="K226" s="15"/>
      <c r="L226" s="16"/>
      <c r="M226" s="16"/>
      <c r="N226" s="15"/>
      <c r="O226" s="15" t="str">
        <f>IF(AND(L226&lt;&gt;"",M226&lt;&gt;""),L226&amp;"-"&amp;M226,"")</f>
        <v/>
      </c>
      <c r="P226" s="14" t="str">
        <f>IF(AND(O226&lt;&gt;"",COUNTIF($O$2:$O$301,O226)&gt;1),"Två gäster på samma plats!","")</f>
        <v/>
      </c>
      <c r="Q226" s="15"/>
    </row>
    <row r="227" spans="1:17" x14ac:dyDescent="0.25">
      <c r="A227" s="15"/>
      <c r="B227" s="15"/>
      <c r="C227" s="15"/>
      <c r="D227" s="15"/>
      <c r="E227" s="15"/>
      <c r="F227" s="15"/>
      <c r="G227" s="15"/>
      <c r="H227" s="15"/>
      <c r="I227" s="15"/>
      <c r="J227" s="15"/>
      <c r="K227" s="15"/>
      <c r="L227" s="16"/>
      <c r="M227" s="16"/>
      <c r="N227" s="15"/>
      <c r="O227" s="15" t="str">
        <f>IF(AND(L227&lt;&gt;"",M227&lt;&gt;""),L227&amp;"-"&amp;M227,"")</f>
        <v/>
      </c>
      <c r="P227" s="14" t="str">
        <f>IF(AND(O227&lt;&gt;"",COUNTIF($O$2:$O$301,O227)&gt;1),"Två gäster på samma plats!","")</f>
        <v/>
      </c>
      <c r="Q227" s="15"/>
    </row>
    <row r="228" spans="1:17" x14ac:dyDescent="0.25">
      <c r="A228" s="15"/>
      <c r="B228" s="15"/>
      <c r="C228" s="15"/>
      <c r="D228" s="15"/>
      <c r="E228" s="15"/>
      <c r="F228" s="15"/>
      <c r="G228" s="15"/>
      <c r="H228" s="15"/>
      <c r="I228" s="15"/>
      <c r="J228" s="15"/>
      <c r="K228" s="15"/>
      <c r="L228" s="16"/>
      <c r="M228" s="16"/>
      <c r="N228" s="15"/>
      <c r="O228" s="15" t="str">
        <f>IF(AND(L228&lt;&gt;"",M228&lt;&gt;""),L228&amp;"-"&amp;M228,"")</f>
        <v/>
      </c>
      <c r="P228" s="14" t="str">
        <f>IF(AND(O228&lt;&gt;"",COUNTIF($O$2:$O$301,O228)&gt;1),"Två gäster på samma plats!","")</f>
        <v/>
      </c>
      <c r="Q228" s="15"/>
    </row>
    <row r="229" spans="1:17" x14ac:dyDescent="0.25">
      <c r="A229" s="15"/>
      <c r="B229" s="15"/>
      <c r="C229" s="15"/>
      <c r="D229" s="15"/>
      <c r="E229" s="15"/>
      <c r="F229" s="15"/>
      <c r="G229" s="15"/>
      <c r="H229" s="15"/>
      <c r="I229" s="15"/>
      <c r="J229" s="15"/>
      <c r="K229" s="15"/>
      <c r="L229" s="16"/>
      <c r="M229" s="16"/>
      <c r="N229" s="15"/>
      <c r="O229" s="15" t="str">
        <f>IF(AND(L229&lt;&gt;"",M229&lt;&gt;""),L229&amp;"-"&amp;M229,"")</f>
        <v/>
      </c>
      <c r="P229" s="14" t="str">
        <f>IF(AND(O229&lt;&gt;"",COUNTIF($O$2:$O$301,O229)&gt;1),"Två gäster på samma plats!","")</f>
        <v/>
      </c>
      <c r="Q229" s="15"/>
    </row>
    <row r="230" spans="1:17" x14ac:dyDescent="0.25">
      <c r="A230" s="15"/>
      <c r="B230" s="15"/>
      <c r="C230" s="15"/>
      <c r="D230" s="15"/>
      <c r="E230" s="15"/>
      <c r="F230" s="15"/>
      <c r="G230" s="15"/>
      <c r="H230" s="15"/>
      <c r="I230" s="15"/>
      <c r="J230" s="15"/>
      <c r="K230" s="15"/>
      <c r="L230" s="16"/>
      <c r="M230" s="16"/>
      <c r="N230" s="15"/>
      <c r="O230" s="15" t="str">
        <f>IF(AND(L230&lt;&gt;"",M230&lt;&gt;""),L230&amp;"-"&amp;M230,"")</f>
        <v/>
      </c>
      <c r="P230" s="14" t="str">
        <f>IF(AND(O230&lt;&gt;"",COUNTIF($O$2:$O$301,O230)&gt;1),"Två gäster på samma plats!","")</f>
        <v/>
      </c>
      <c r="Q230" s="15"/>
    </row>
    <row r="231" spans="1:17" x14ac:dyDescent="0.25">
      <c r="A231" s="15"/>
      <c r="B231" s="15"/>
      <c r="C231" s="15"/>
      <c r="D231" s="15"/>
      <c r="E231" s="15"/>
      <c r="F231" s="15"/>
      <c r="G231" s="15"/>
      <c r="H231" s="15"/>
      <c r="I231" s="15"/>
      <c r="J231" s="15"/>
      <c r="K231" s="15"/>
      <c r="L231" s="16"/>
      <c r="M231" s="16"/>
      <c r="N231" s="15"/>
      <c r="O231" s="15" t="str">
        <f>IF(AND(L231&lt;&gt;"",M231&lt;&gt;""),L231&amp;"-"&amp;M231,"")</f>
        <v/>
      </c>
      <c r="P231" s="14" t="str">
        <f>IF(AND(O231&lt;&gt;"",COUNTIF($O$2:$O$301,O231)&gt;1),"Två gäster på samma plats!","")</f>
        <v/>
      </c>
      <c r="Q231" s="15"/>
    </row>
    <row r="232" spans="1:17" x14ac:dyDescent="0.25">
      <c r="A232" s="15"/>
      <c r="B232" s="15"/>
      <c r="C232" s="15"/>
      <c r="D232" s="15"/>
      <c r="E232" s="15"/>
      <c r="F232" s="15"/>
      <c r="G232" s="15"/>
      <c r="H232" s="15"/>
      <c r="I232" s="15"/>
      <c r="J232" s="15"/>
      <c r="K232" s="15"/>
      <c r="L232" s="16"/>
      <c r="M232" s="16"/>
      <c r="N232" s="15"/>
      <c r="O232" s="15" t="str">
        <f>IF(AND(L232&lt;&gt;"",M232&lt;&gt;""),L232&amp;"-"&amp;M232,"")</f>
        <v/>
      </c>
      <c r="P232" s="14" t="str">
        <f>IF(AND(O232&lt;&gt;"",COUNTIF($O$2:$O$301,O232)&gt;1),"Två gäster på samma plats!","")</f>
        <v/>
      </c>
      <c r="Q232" s="15"/>
    </row>
    <row r="233" spans="1:17" x14ac:dyDescent="0.25">
      <c r="A233" s="15"/>
      <c r="B233" s="15"/>
      <c r="C233" s="15"/>
      <c r="D233" s="15"/>
      <c r="E233" s="15"/>
      <c r="F233" s="15"/>
      <c r="G233" s="15"/>
      <c r="H233" s="15"/>
      <c r="I233" s="15"/>
      <c r="J233" s="15"/>
      <c r="K233" s="15"/>
      <c r="L233" s="16"/>
      <c r="M233" s="16"/>
      <c r="N233" s="15"/>
      <c r="O233" s="15" t="str">
        <f>IF(AND(L233&lt;&gt;"",M233&lt;&gt;""),L233&amp;"-"&amp;M233,"")</f>
        <v/>
      </c>
      <c r="P233" s="14" t="str">
        <f>IF(AND(O233&lt;&gt;"",COUNTIF($O$2:$O$301,O233)&gt;1),"Två gäster på samma plats!","")</f>
        <v/>
      </c>
      <c r="Q233" s="15"/>
    </row>
    <row r="234" spans="1:17" x14ac:dyDescent="0.25">
      <c r="A234" s="15"/>
      <c r="B234" s="15"/>
      <c r="C234" s="15"/>
      <c r="D234" s="15"/>
      <c r="E234" s="15"/>
      <c r="F234" s="15"/>
      <c r="G234" s="15"/>
      <c r="H234" s="15"/>
      <c r="I234" s="15"/>
      <c r="J234" s="15"/>
      <c r="K234" s="15"/>
      <c r="L234" s="16"/>
      <c r="M234" s="16"/>
      <c r="N234" s="15"/>
      <c r="O234" s="15" t="str">
        <f>IF(AND(L234&lt;&gt;"",M234&lt;&gt;""),L234&amp;"-"&amp;M234,"")</f>
        <v/>
      </c>
      <c r="P234" s="14" t="str">
        <f>IF(AND(O234&lt;&gt;"",COUNTIF($O$2:$O$301,O234)&gt;1),"Två gäster på samma plats!","")</f>
        <v/>
      </c>
      <c r="Q234" s="15"/>
    </row>
    <row r="235" spans="1:17" x14ac:dyDescent="0.25">
      <c r="A235" s="15"/>
      <c r="B235" s="15"/>
      <c r="C235" s="15"/>
      <c r="D235" s="15"/>
      <c r="E235" s="15"/>
      <c r="F235" s="15"/>
      <c r="G235" s="15"/>
      <c r="H235" s="15"/>
      <c r="I235" s="15"/>
      <c r="J235" s="15"/>
      <c r="K235" s="15"/>
      <c r="L235" s="16"/>
      <c r="M235" s="16"/>
      <c r="N235" s="15"/>
      <c r="O235" s="15" t="str">
        <f>IF(AND(L235&lt;&gt;"",M235&lt;&gt;""),L235&amp;"-"&amp;M235,"")</f>
        <v/>
      </c>
      <c r="P235" s="14" t="str">
        <f>IF(AND(O235&lt;&gt;"",COUNTIF($O$2:$O$301,O235)&gt;1),"Två gäster på samma plats!","")</f>
        <v/>
      </c>
      <c r="Q235" s="15"/>
    </row>
    <row r="236" spans="1:17" x14ac:dyDescent="0.25">
      <c r="A236" s="15"/>
      <c r="B236" s="15"/>
      <c r="C236" s="15"/>
      <c r="D236" s="15"/>
      <c r="E236" s="15"/>
      <c r="F236" s="15"/>
      <c r="G236" s="15"/>
      <c r="H236" s="15"/>
      <c r="I236" s="15"/>
      <c r="J236" s="15"/>
      <c r="K236" s="15"/>
      <c r="L236" s="16"/>
      <c r="M236" s="16"/>
      <c r="N236" s="15"/>
      <c r="O236" s="15" t="str">
        <f>IF(AND(L236&lt;&gt;"",M236&lt;&gt;""),L236&amp;"-"&amp;M236,"")</f>
        <v/>
      </c>
      <c r="P236" s="14" t="str">
        <f>IF(AND(O236&lt;&gt;"",COUNTIF($O$2:$O$301,O236)&gt;1),"Två gäster på samma plats!","")</f>
        <v/>
      </c>
      <c r="Q236" s="15"/>
    </row>
    <row r="237" spans="1:17" x14ac:dyDescent="0.25">
      <c r="A237" s="15"/>
      <c r="B237" s="15"/>
      <c r="C237" s="15"/>
      <c r="D237" s="15"/>
      <c r="E237" s="15"/>
      <c r="F237" s="15"/>
      <c r="G237" s="15"/>
      <c r="H237" s="15"/>
      <c r="I237" s="15"/>
      <c r="J237" s="15"/>
      <c r="K237" s="15"/>
      <c r="L237" s="16"/>
      <c r="M237" s="16"/>
      <c r="N237" s="15"/>
      <c r="O237" s="15" t="str">
        <f>IF(AND(L237&lt;&gt;"",M237&lt;&gt;""),L237&amp;"-"&amp;M237,"")</f>
        <v/>
      </c>
      <c r="P237" s="14" t="str">
        <f>IF(AND(O237&lt;&gt;"",COUNTIF($O$2:$O$301,O237)&gt;1),"Två gäster på samma plats!","")</f>
        <v/>
      </c>
      <c r="Q237" s="15"/>
    </row>
    <row r="238" spans="1:17" x14ac:dyDescent="0.25">
      <c r="A238" s="15"/>
      <c r="B238" s="15"/>
      <c r="C238" s="15"/>
      <c r="D238" s="15"/>
      <c r="E238" s="15"/>
      <c r="F238" s="15"/>
      <c r="G238" s="15"/>
      <c r="H238" s="15"/>
      <c r="I238" s="15"/>
      <c r="J238" s="15"/>
      <c r="K238" s="15"/>
      <c r="L238" s="16"/>
      <c r="M238" s="16"/>
      <c r="N238" s="15"/>
      <c r="O238" s="15" t="str">
        <f>IF(AND(L238&lt;&gt;"",M238&lt;&gt;""),L238&amp;"-"&amp;M238,"")</f>
        <v/>
      </c>
      <c r="P238" s="14" t="str">
        <f>IF(AND(O238&lt;&gt;"",COUNTIF($O$2:$O$301,O238)&gt;1),"Två gäster på samma plats!","")</f>
        <v/>
      </c>
      <c r="Q238" s="15"/>
    </row>
    <row r="239" spans="1:17" x14ac:dyDescent="0.25">
      <c r="A239" s="15"/>
      <c r="B239" s="15"/>
      <c r="C239" s="15"/>
      <c r="D239" s="15"/>
      <c r="E239" s="15"/>
      <c r="F239" s="15"/>
      <c r="G239" s="15"/>
      <c r="H239" s="15"/>
      <c r="I239" s="15"/>
      <c r="J239" s="15"/>
      <c r="K239" s="15"/>
      <c r="L239" s="16"/>
      <c r="M239" s="16"/>
      <c r="N239" s="15"/>
      <c r="O239" s="15" t="str">
        <f>IF(AND(L239&lt;&gt;"",M239&lt;&gt;""),L239&amp;"-"&amp;M239,"")</f>
        <v/>
      </c>
      <c r="P239" s="14" t="str">
        <f>IF(AND(O239&lt;&gt;"",COUNTIF($O$2:$O$301,O239)&gt;1),"Två gäster på samma plats!","")</f>
        <v/>
      </c>
      <c r="Q239" s="15"/>
    </row>
    <row r="240" spans="1:17" x14ac:dyDescent="0.25">
      <c r="A240" s="15"/>
      <c r="B240" s="15"/>
      <c r="C240" s="15"/>
      <c r="D240" s="15"/>
      <c r="E240" s="15"/>
      <c r="F240" s="15"/>
      <c r="G240" s="15"/>
      <c r="H240" s="15"/>
      <c r="I240" s="15"/>
      <c r="J240" s="15"/>
      <c r="K240" s="15"/>
      <c r="L240" s="16"/>
      <c r="M240" s="16"/>
      <c r="N240" s="15"/>
      <c r="O240" s="15" t="str">
        <f>IF(AND(L240&lt;&gt;"",M240&lt;&gt;""),L240&amp;"-"&amp;M240,"")</f>
        <v/>
      </c>
      <c r="P240" s="14" t="str">
        <f>IF(AND(O240&lt;&gt;"",COUNTIF($O$2:$O$301,O240)&gt;1),"Två gäster på samma plats!","")</f>
        <v/>
      </c>
      <c r="Q240" s="15"/>
    </row>
    <row r="241" spans="1:17" x14ac:dyDescent="0.25">
      <c r="A241" s="15"/>
      <c r="B241" s="15"/>
      <c r="C241" s="15"/>
      <c r="D241" s="15"/>
      <c r="E241" s="15"/>
      <c r="F241" s="15"/>
      <c r="G241" s="15"/>
      <c r="H241" s="15"/>
      <c r="I241" s="15"/>
      <c r="J241" s="15"/>
      <c r="K241" s="15"/>
      <c r="L241" s="16"/>
      <c r="M241" s="16"/>
      <c r="N241" s="15"/>
      <c r="O241" s="15" t="str">
        <f>IF(AND(L241&lt;&gt;"",M241&lt;&gt;""),L241&amp;"-"&amp;M241,"")</f>
        <v/>
      </c>
      <c r="P241" s="14" t="str">
        <f>IF(AND(O241&lt;&gt;"",COUNTIF($O$2:$O$301,O241)&gt;1),"Två gäster på samma plats!","")</f>
        <v/>
      </c>
      <c r="Q241" s="15"/>
    </row>
    <row r="242" spans="1:17" x14ac:dyDescent="0.25">
      <c r="A242" s="15"/>
      <c r="B242" s="15"/>
      <c r="C242" s="15"/>
      <c r="D242" s="15"/>
      <c r="E242" s="15"/>
      <c r="F242" s="15"/>
      <c r="G242" s="15"/>
      <c r="H242" s="15"/>
      <c r="I242" s="15"/>
      <c r="J242" s="15"/>
      <c r="K242" s="15"/>
      <c r="L242" s="16"/>
      <c r="M242" s="16"/>
      <c r="N242" s="15"/>
      <c r="O242" s="15" t="str">
        <f>IF(AND(L242&lt;&gt;"",M242&lt;&gt;""),L242&amp;"-"&amp;M242,"")</f>
        <v/>
      </c>
      <c r="P242" s="14" t="str">
        <f>IF(AND(O242&lt;&gt;"",COUNTIF($O$2:$O$301,O242)&gt;1),"Två gäster på samma plats!","")</f>
        <v/>
      </c>
      <c r="Q242" s="15"/>
    </row>
    <row r="243" spans="1:17" x14ac:dyDescent="0.25">
      <c r="A243" s="15"/>
      <c r="B243" s="15"/>
      <c r="C243" s="15"/>
      <c r="D243" s="15"/>
      <c r="E243" s="15"/>
      <c r="F243" s="15"/>
      <c r="G243" s="15"/>
      <c r="H243" s="15"/>
      <c r="I243" s="15"/>
      <c r="J243" s="15"/>
      <c r="K243" s="15"/>
      <c r="L243" s="16"/>
      <c r="M243" s="16"/>
      <c r="N243" s="15"/>
      <c r="O243" s="15" t="str">
        <f>IF(AND(L243&lt;&gt;"",M243&lt;&gt;""),L243&amp;"-"&amp;M243,"")</f>
        <v/>
      </c>
      <c r="P243" s="14" t="str">
        <f>IF(AND(O243&lt;&gt;"",COUNTIF($O$2:$O$301,O243)&gt;1),"Två gäster på samma plats!","")</f>
        <v/>
      </c>
      <c r="Q243" s="15"/>
    </row>
    <row r="244" spans="1:17" x14ac:dyDescent="0.25">
      <c r="A244" s="15"/>
      <c r="B244" s="15"/>
      <c r="C244" s="15"/>
      <c r="D244" s="15"/>
      <c r="E244" s="15"/>
      <c r="F244" s="15"/>
      <c r="G244" s="15"/>
      <c r="H244" s="15"/>
      <c r="I244" s="15"/>
      <c r="J244" s="15"/>
      <c r="K244" s="15"/>
      <c r="L244" s="16"/>
      <c r="M244" s="16"/>
      <c r="N244" s="15"/>
      <c r="O244" s="15" t="str">
        <f>IF(AND(L244&lt;&gt;"",M244&lt;&gt;""),L244&amp;"-"&amp;M244,"")</f>
        <v/>
      </c>
      <c r="P244" s="14" t="str">
        <f>IF(AND(O244&lt;&gt;"",COUNTIF($O$2:$O$301,O244)&gt;1),"Två gäster på samma plats!","")</f>
        <v/>
      </c>
      <c r="Q244" s="15"/>
    </row>
    <row r="245" spans="1:17" x14ac:dyDescent="0.25">
      <c r="A245" s="15"/>
      <c r="B245" s="15"/>
      <c r="C245" s="15"/>
      <c r="D245" s="15"/>
      <c r="E245" s="15"/>
      <c r="F245" s="15"/>
      <c r="G245" s="15"/>
      <c r="H245" s="15"/>
      <c r="I245" s="15"/>
      <c r="J245" s="15"/>
      <c r="K245" s="15"/>
      <c r="L245" s="16"/>
      <c r="M245" s="16"/>
      <c r="N245" s="15"/>
      <c r="O245" s="15" t="str">
        <f>IF(AND(L245&lt;&gt;"",M245&lt;&gt;""),L245&amp;"-"&amp;M245,"")</f>
        <v/>
      </c>
      <c r="P245" s="14" t="str">
        <f>IF(AND(O245&lt;&gt;"",COUNTIF($O$2:$O$301,O245)&gt;1),"Två gäster på samma plats!","")</f>
        <v/>
      </c>
      <c r="Q245" s="15"/>
    </row>
    <row r="246" spans="1:17" x14ac:dyDescent="0.25">
      <c r="A246" s="15"/>
      <c r="B246" s="15"/>
      <c r="C246" s="15"/>
      <c r="D246" s="15"/>
      <c r="E246" s="15"/>
      <c r="F246" s="15"/>
      <c r="G246" s="15"/>
      <c r="H246" s="15"/>
      <c r="I246" s="15"/>
      <c r="J246" s="15"/>
      <c r="K246" s="15"/>
      <c r="L246" s="16"/>
      <c r="M246" s="16"/>
      <c r="N246" s="15"/>
      <c r="O246" s="15" t="str">
        <f>IF(AND(L246&lt;&gt;"",M246&lt;&gt;""),L246&amp;"-"&amp;M246,"")</f>
        <v/>
      </c>
      <c r="P246" s="14" t="str">
        <f>IF(AND(O246&lt;&gt;"",COUNTIF($O$2:$O$301,O246)&gt;1),"Två gäster på samma plats!","")</f>
        <v/>
      </c>
      <c r="Q246" s="15"/>
    </row>
    <row r="247" spans="1:17" x14ac:dyDescent="0.25">
      <c r="A247" s="15"/>
      <c r="B247" s="15"/>
      <c r="C247" s="15"/>
      <c r="D247" s="15"/>
      <c r="E247" s="15"/>
      <c r="F247" s="15"/>
      <c r="G247" s="15"/>
      <c r="H247" s="15"/>
      <c r="I247" s="15"/>
      <c r="J247" s="15"/>
      <c r="K247" s="15"/>
      <c r="L247" s="16"/>
      <c r="M247" s="16"/>
      <c r="N247" s="15"/>
      <c r="O247" s="15" t="str">
        <f>IF(AND(L247&lt;&gt;"",M247&lt;&gt;""),L247&amp;"-"&amp;M247,"")</f>
        <v/>
      </c>
      <c r="P247" s="14" t="str">
        <f>IF(AND(O247&lt;&gt;"",COUNTIF($O$2:$O$301,O247)&gt;1),"Två gäster på samma plats!","")</f>
        <v/>
      </c>
      <c r="Q247" s="15"/>
    </row>
    <row r="248" spans="1:17" x14ac:dyDescent="0.25">
      <c r="A248" s="15"/>
      <c r="B248" s="15"/>
      <c r="C248" s="15"/>
      <c r="D248" s="15"/>
      <c r="E248" s="15"/>
      <c r="F248" s="15"/>
      <c r="G248" s="15"/>
      <c r="H248" s="15"/>
      <c r="I248" s="15"/>
      <c r="J248" s="15"/>
      <c r="K248" s="15"/>
      <c r="L248" s="16"/>
      <c r="M248" s="16"/>
      <c r="N248" s="15"/>
      <c r="O248" s="15" t="str">
        <f>IF(AND(L248&lt;&gt;"",M248&lt;&gt;""),L248&amp;"-"&amp;M248,"")</f>
        <v/>
      </c>
      <c r="P248" s="14" t="str">
        <f>IF(AND(O248&lt;&gt;"",COUNTIF($O$2:$O$301,O248)&gt;1),"Två gäster på samma plats!","")</f>
        <v/>
      </c>
      <c r="Q248" s="15"/>
    </row>
    <row r="249" spans="1:17" x14ac:dyDescent="0.25">
      <c r="A249" s="15"/>
      <c r="B249" s="15"/>
      <c r="C249" s="15"/>
      <c r="D249" s="15"/>
      <c r="E249" s="15"/>
      <c r="F249" s="15"/>
      <c r="G249" s="15"/>
      <c r="H249" s="15"/>
      <c r="I249" s="15"/>
      <c r="J249" s="15"/>
      <c r="K249" s="15"/>
      <c r="L249" s="16"/>
      <c r="M249" s="16"/>
      <c r="N249" s="15"/>
      <c r="O249" s="15" t="str">
        <f>IF(AND(L249&lt;&gt;"",M249&lt;&gt;""),L249&amp;"-"&amp;M249,"")</f>
        <v/>
      </c>
      <c r="P249" s="14" t="str">
        <f>IF(AND(O249&lt;&gt;"",COUNTIF($O$2:$O$301,O249)&gt;1),"Två gäster på samma plats!","")</f>
        <v/>
      </c>
      <c r="Q249" s="15"/>
    </row>
    <row r="250" spans="1:17" x14ac:dyDescent="0.25">
      <c r="A250" s="15"/>
      <c r="B250" s="15"/>
      <c r="C250" s="15"/>
      <c r="D250" s="15"/>
      <c r="E250" s="15"/>
      <c r="F250" s="15"/>
      <c r="G250" s="15"/>
      <c r="H250" s="15"/>
      <c r="I250" s="15"/>
      <c r="J250" s="15"/>
      <c r="K250" s="15"/>
      <c r="L250" s="16"/>
      <c r="M250" s="16"/>
      <c r="N250" s="15"/>
      <c r="O250" s="15" t="str">
        <f>IF(AND(L250&lt;&gt;"",M250&lt;&gt;""),L250&amp;"-"&amp;M250,"")</f>
        <v/>
      </c>
      <c r="P250" s="14" t="str">
        <f>IF(AND(O250&lt;&gt;"",COUNTIF($O$2:$O$301,O250)&gt;1),"Två gäster på samma plats!","")</f>
        <v/>
      </c>
      <c r="Q250" s="15"/>
    </row>
    <row r="251" spans="1:17" x14ac:dyDescent="0.25">
      <c r="A251" s="15"/>
      <c r="B251" s="15"/>
      <c r="C251" s="15"/>
      <c r="D251" s="15"/>
      <c r="E251" s="15"/>
      <c r="F251" s="15"/>
      <c r="G251" s="15"/>
      <c r="H251" s="15"/>
      <c r="I251" s="15"/>
      <c r="J251" s="15"/>
      <c r="K251" s="15"/>
      <c r="L251" s="16"/>
      <c r="M251" s="16"/>
      <c r="N251" s="15"/>
      <c r="O251" s="15" t="str">
        <f>IF(AND(L251&lt;&gt;"",M251&lt;&gt;""),L251&amp;"-"&amp;M251,"")</f>
        <v/>
      </c>
      <c r="P251" s="14" t="str">
        <f>IF(AND(O251&lt;&gt;"",COUNTIF($O$2:$O$301,O251)&gt;1),"Två gäster på samma plats!","")</f>
        <v/>
      </c>
      <c r="Q251" s="15"/>
    </row>
    <row r="252" spans="1:17" x14ac:dyDescent="0.25">
      <c r="A252" s="15"/>
      <c r="B252" s="15"/>
      <c r="C252" s="15"/>
      <c r="D252" s="15"/>
      <c r="E252" s="15"/>
      <c r="F252" s="15"/>
      <c r="G252" s="15"/>
      <c r="H252" s="15"/>
      <c r="I252" s="15"/>
      <c r="J252" s="15"/>
      <c r="K252" s="15"/>
      <c r="L252" s="16"/>
      <c r="M252" s="16"/>
      <c r="N252" s="15"/>
      <c r="O252" s="15" t="str">
        <f>IF(AND(L252&lt;&gt;"",M252&lt;&gt;""),L252&amp;"-"&amp;M252,"")</f>
        <v/>
      </c>
      <c r="P252" s="14" t="str">
        <f>IF(AND(O252&lt;&gt;"",COUNTIF($O$2:$O$301,O252)&gt;1),"Två gäster på samma plats!","")</f>
        <v/>
      </c>
      <c r="Q252" s="15"/>
    </row>
    <row r="253" spans="1:17" x14ac:dyDescent="0.25">
      <c r="A253" s="15"/>
      <c r="B253" s="15"/>
      <c r="C253" s="15"/>
      <c r="D253" s="15"/>
      <c r="E253" s="15"/>
      <c r="F253" s="15"/>
      <c r="G253" s="15"/>
      <c r="H253" s="15"/>
      <c r="I253" s="15"/>
      <c r="J253" s="15"/>
      <c r="K253" s="15"/>
      <c r="L253" s="16"/>
      <c r="M253" s="16"/>
      <c r="N253" s="15"/>
      <c r="O253" s="15" t="str">
        <f>IF(AND(L253&lt;&gt;"",M253&lt;&gt;""),L253&amp;"-"&amp;M253,"")</f>
        <v/>
      </c>
      <c r="P253" s="14" t="str">
        <f>IF(AND(O253&lt;&gt;"",COUNTIF($O$2:$O$301,O253)&gt;1),"Två gäster på samma plats!","")</f>
        <v/>
      </c>
      <c r="Q253" s="15"/>
    </row>
    <row r="254" spans="1:17" x14ac:dyDescent="0.25">
      <c r="A254" s="15"/>
      <c r="B254" s="15"/>
      <c r="C254" s="15"/>
      <c r="D254" s="15"/>
      <c r="E254" s="15"/>
      <c r="F254" s="15"/>
      <c r="G254" s="15"/>
      <c r="H254" s="15"/>
      <c r="I254" s="15"/>
      <c r="J254" s="15"/>
      <c r="K254" s="15"/>
      <c r="L254" s="16"/>
      <c r="M254" s="16"/>
      <c r="N254" s="15"/>
      <c r="O254" s="15" t="str">
        <f>IF(AND(L254&lt;&gt;"",M254&lt;&gt;""),L254&amp;"-"&amp;M254,"")</f>
        <v/>
      </c>
      <c r="P254" s="14" t="str">
        <f>IF(AND(O254&lt;&gt;"",COUNTIF($O$2:$O$301,O254)&gt;1),"Två gäster på samma plats!","")</f>
        <v/>
      </c>
      <c r="Q254" s="15"/>
    </row>
    <row r="255" spans="1:17" x14ac:dyDescent="0.25">
      <c r="A255" s="15"/>
      <c r="B255" s="15"/>
      <c r="C255" s="15"/>
      <c r="D255" s="15"/>
      <c r="E255" s="15"/>
      <c r="F255" s="15"/>
      <c r="G255" s="15"/>
      <c r="H255" s="15"/>
      <c r="I255" s="15"/>
      <c r="J255" s="15"/>
      <c r="K255" s="15"/>
      <c r="L255" s="16"/>
      <c r="M255" s="16"/>
      <c r="N255" s="15"/>
      <c r="O255" s="15" t="str">
        <f>IF(AND(L255&lt;&gt;"",M255&lt;&gt;""),L255&amp;"-"&amp;M255,"")</f>
        <v/>
      </c>
      <c r="P255" s="14" t="str">
        <f>IF(AND(O255&lt;&gt;"",COUNTIF($O$2:$O$301,O255)&gt;1),"Två gäster på samma plats!","")</f>
        <v/>
      </c>
      <c r="Q255" s="15"/>
    </row>
    <row r="256" spans="1:17" x14ac:dyDescent="0.25">
      <c r="A256" s="15"/>
      <c r="B256" s="15"/>
      <c r="C256" s="15"/>
      <c r="D256" s="15"/>
      <c r="E256" s="15"/>
      <c r="F256" s="15"/>
      <c r="G256" s="15"/>
      <c r="H256" s="15"/>
      <c r="I256" s="15"/>
      <c r="J256" s="15"/>
      <c r="K256" s="15"/>
      <c r="L256" s="16"/>
      <c r="M256" s="16"/>
      <c r="N256" s="15"/>
      <c r="O256" s="15" t="str">
        <f>IF(AND(L256&lt;&gt;"",M256&lt;&gt;""),L256&amp;"-"&amp;M256,"")</f>
        <v/>
      </c>
      <c r="P256" s="14" t="str">
        <f>IF(AND(O256&lt;&gt;"",COUNTIF($O$2:$O$301,O256)&gt;1),"Två gäster på samma plats!","")</f>
        <v/>
      </c>
      <c r="Q256" s="15"/>
    </row>
    <row r="257" spans="1:17" x14ac:dyDescent="0.25">
      <c r="A257" s="15"/>
      <c r="B257" s="15"/>
      <c r="C257" s="15"/>
      <c r="D257" s="15"/>
      <c r="E257" s="15"/>
      <c r="F257" s="15"/>
      <c r="G257" s="15"/>
      <c r="H257" s="15"/>
      <c r="I257" s="15"/>
      <c r="J257" s="15"/>
      <c r="K257" s="15"/>
      <c r="L257" s="16"/>
      <c r="M257" s="16"/>
      <c r="N257" s="15"/>
      <c r="O257" s="15" t="str">
        <f>IF(AND(L257&lt;&gt;"",M257&lt;&gt;""),L257&amp;"-"&amp;M257,"")</f>
        <v/>
      </c>
      <c r="P257" s="14" t="str">
        <f>IF(AND(O257&lt;&gt;"",COUNTIF($O$2:$O$301,O257)&gt;1),"Två gäster på samma plats!","")</f>
        <v/>
      </c>
      <c r="Q257" s="15"/>
    </row>
    <row r="258" spans="1:17" x14ac:dyDescent="0.25">
      <c r="A258" s="15"/>
      <c r="B258" s="15"/>
      <c r="C258" s="15"/>
      <c r="D258" s="15"/>
      <c r="E258" s="15"/>
      <c r="F258" s="15"/>
      <c r="G258" s="15"/>
      <c r="H258" s="15"/>
      <c r="I258" s="15"/>
      <c r="J258" s="15"/>
      <c r="K258" s="15"/>
      <c r="L258" s="16"/>
      <c r="M258" s="16"/>
      <c r="N258" s="15"/>
      <c r="O258" s="15" t="str">
        <f>IF(AND(L258&lt;&gt;"",M258&lt;&gt;""),L258&amp;"-"&amp;M258,"")</f>
        <v/>
      </c>
      <c r="P258" s="14" t="str">
        <f>IF(AND(O258&lt;&gt;"",COUNTIF($O$2:$O$301,O258)&gt;1),"Två gäster på samma plats!","")</f>
        <v/>
      </c>
      <c r="Q258" s="15"/>
    </row>
    <row r="259" spans="1:17" x14ac:dyDescent="0.25">
      <c r="A259" s="15"/>
      <c r="B259" s="15"/>
      <c r="C259" s="15"/>
      <c r="D259" s="15"/>
      <c r="E259" s="15"/>
      <c r="F259" s="15"/>
      <c r="G259" s="15"/>
      <c r="H259" s="15"/>
      <c r="I259" s="15"/>
      <c r="J259" s="15"/>
      <c r="K259" s="15"/>
      <c r="L259" s="16"/>
      <c r="M259" s="16"/>
      <c r="N259" s="15"/>
      <c r="O259" s="15" t="str">
        <f>IF(AND(L259&lt;&gt;"",M259&lt;&gt;""),L259&amp;"-"&amp;M259,"")</f>
        <v/>
      </c>
      <c r="P259" s="14" t="str">
        <f>IF(AND(O259&lt;&gt;"",COUNTIF($O$2:$O$301,O259)&gt;1),"Två gäster på samma plats!","")</f>
        <v/>
      </c>
      <c r="Q259" s="15"/>
    </row>
    <row r="260" spans="1:17" x14ac:dyDescent="0.25">
      <c r="A260" s="15"/>
      <c r="B260" s="15"/>
      <c r="C260" s="15"/>
      <c r="D260" s="15"/>
      <c r="E260" s="15"/>
      <c r="F260" s="15"/>
      <c r="G260" s="15"/>
      <c r="H260" s="15"/>
      <c r="I260" s="15"/>
      <c r="J260" s="15"/>
      <c r="K260" s="15"/>
      <c r="L260" s="16"/>
      <c r="M260" s="16"/>
      <c r="N260" s="15"/>
      <c r="O260" s="15" t="str">
        <f>IF(AND(L260&lt;&gt;"",M260&lt;&gt;""),L260&amp;"-"&amp;M260,"")</f>
        <v/>
      </c>
      <c r="P260" s="14" t="str">
        <f>IF(AND(O260&lt;&gt;"",COUNTIF($O$2:$O$301,O260)&gt;1),"Två gäster på samma plats!","")</f>
        <v/>
      </c>
      <c r="Q260" s="15"/>
    </row>
    <row r="261" spans="1:17" x14ac:dyDescent="0.25">
      <c r="A261" s="15"/>
      <c r="B261" s="15"/>
      <c r="C261" s="15"/>
      <c r="D261" s="15"/>
      <c r="E261" s="15"/>
      <c r="F261" s="15"/>
      <c r="G261" s="15"/>
      <c r="H261" s="15"/>
      <c r="I261" s="15"/>
      <c r="J261" s="15"/>
      <c r="K261" s="15"/>
      <c r="L261" s="16"/>
      <c r="M261" s="16"/>
      <c r="N261" s="15"/>
      <c r="O261" s="15" t="str">
        <f>IF(AND(L261&lt;&gt;"",M261&lt;&gt;""),L261&amp;"-"&amp;M261,"")</f>
        <v/>
      </c>
      <c r="P261" s="14" t="str">
        <f>IF(AND(O261&lt;&gt;"",COUNTIF($O$2:$O$301,O261)&gt;1),"Två gäster på samma plats!","")</f>
        <v/>
      </c>
      <c r="Q261" s="15"/>
    </row>
    <row r="262" spans="1:17" x14ac:dyDescent="0.25">
      <c r="A262" s="15"/>
      <c r="B262" s="15"/>
      <c r="C262" s="15"/>
      <c r="D262" s="15"/>
      <c r="E262" s="15"/>
      <c r="F262" s="15"/>
      <c r="G262" s="15"/>
      <c r="H262" s="15"/>
      <c r="I262" s="15"/>
      <c r="J262" s="15"/>
      <c r="K262" s="15"/>
      <c r="L262" s="16"/>
      <c r="M262" s="16"/>
      <c r="N262" s="15"/>
      <c r="O262" s="15" t="str">
        <f>IF(AND(L262&lt;&gt;"",M262&lt;&gt;""),L262&amp;"-"&amp;M262,"")</f>
        <v/>
      </c>
      <c r="P262" s="14" t="str">
        <f>IF(AND(O262&lt;&gt;"",COUNTIF($O$2:$O$301,O262)&gt;1),"Två gäster på samma plats!","")</f>
        <v/>
      </c>
      <c r="Q262" s="15"/>
    </row>
    <row r="263" spans="1:17" x14ac:dyDescent="0.25">
      <c r="A263" s="15"/>
      <c r="B263" s="15"/>
      <c r="C263" s="15"/>
      <c r="D263" s="15"/>
      <c r="E263" s="15"/>
      <c r="F263" s="15"/>
      <c r="G263" s="15"/>
      <c r="H263" s="15"/>
      <c r="I263" s="15"/>
      <c r="J263" s="15"/>
      <c r="K263" s="15"/>
      <c r="L263" s="16"/>
      <c r="M263" s="16"/>
      <c r="N263" s="15"/>
      <c r="O263" s="15" t="str">
        <f>IF(AND(L263&lt;&gt;"",M263&lt;&gt;""),L263&amp;"-"&amp;M263,"")</f>
        <v/>
      </c>
      <c r="P263" s="14" t="str">
        <f>IF(AND(O263&lt;&gt;"",COUNTIF($O$2:$O$301,O263)&gt;1),"Två gäster på samma plats!","")</f>
        <v/>
      </c>
      <c r="Q263" s="15"/>
    </row>
    <row r="264" spans="1:17" x14ac:dyDescent="0.25">
      <c r="A264" s="15"/>
      <c r="B264" s="15"/>
      <c r="C264" s="15"/>
      <c r="D264" s="15"/>
      <c r="E264" s="15"/>
      <c r="F264" s="15"/>
      <c r="G264" s="15"/>
      <c r="H264" s="15"/>
      <c r="I264" s="15"/>
      <c r="J264" s="15"/>
      <c r="K264" s="15"/>
      <c r="L264" s="16"/>
      <c r="M264" s="16"/>
      <c r="N264" s="15"/>
      <c r="O264" s="15" t="str">
        <f>IF(AND(L264&lt;&gt;"",M264&lt;&gt;""),L264&amp;"-"&amp;M264,"")</f>
        <v/>
      </c>
      <c r="P264" s="14" t="str">
        <f>IF(AND(O264&lt;&gt;"",COUNTIF($O$2:$O$301,O264)&gt;1),"Två gäster på samma plats!","")</f>
        <v/>
      </c>
      <c r="Q264" s="15"/>
    </row>
    <row r="265" spans="1:17" x14ac:dyDescent="0.25">
      <c r="A265" s="15"/>
      <c r="B265" s="15"/>
      <c r="C265" s="15"/>
      <c r="D265" s="15"/>
      <c r="E265" s="15"/>
      <c r="F265" s="15"/>
      <c r="G265" s="15"/>
      <c r="H265" s="15"/>
      <c r="I265" s="15"/>
      <c r="J265" s="15"/>
      <c r="K265" s="15"/>
      <c r="L265" s="16"/>
      <c r="M265" s="16"/>
      <c r="N265" s="15"/>
      <c r="O265" s="15" t="str">
        <f>IF(AND(L265&lt;&gt;"",M265&lt;&gt;""),L265&amp;"-"&amp;M265,"")</f>
        <v/>
      </c>
      <c r="P265" s="14" t="str">
        <f>IF(AND(O265&lt;&gt;"",COUNTIF($O$2:$O$301,O265)&gt;1),"Två gäster på samma plats!","")</f>
        <v/>
      </c>
      <c r="Q265" s="15"/>
    </row>
    <row r="266" spans="1:17" x14ac:dyDescent="0.25">
      <c r="A266" s="15"/>
      <c r="B266" s="15"/>
      <c r="C266" s="15"/>
      <c r="D266" s="15"/>
      <c r="E266" s="15"/>
      <c r="F266" s="15"/>
      <c r="G266" s="15"/>
      <c r="H266" s="15"/>
      <c r="I266" s="15"/>
      <c r="J266" s="15"/>
      <c r="K266" s="15"/>
      <c r="L266" s="16"/>
      <c r="M266" s="16"/>
      <c r="N266" s="15"/>
      <c r="O266" s="15" t="str">
        <f>IF(AND(L266&lt;&gt;"",M266&lt;&gt;""),L266&amp;"-"&amp;M266,"")</f>
        <v/>
      </c>
      <c r="P266" s="14" t="str">
        <f>IF(AND(O266&lt;&gt;"",COUNTIF($O$2:$O$301,O266)&gt;1),"Två gäster på samma plats!","")</f>
        <v/>
      </c>
      <c r="Q266" s="15"/>
    </row>
    <row r="267" spans="1:17" x14ac:dyDescent="0.25">
      <c r="A267" s="15"/>
      <c r="B267" s="15"/>
      <c r="C267" s="15"/>
      <c r="D267" s="15"/>
      <c r="E267" s="15"/>
      <c r="F267" s="15"/>
      <c r="G267" s="15"/>
      <c r="H267" s="15"/>
      <c r="I267" s="15"/>
      <c r="J267" s="15"/>
      <c r="K267" s="15"/>
      <c r="L267" s="16"/>
      <c r="M267" s="16"/>
      <c r="N267" s="15"/>
      <c r="O267" s="15" t="str">
        <f>IF(AND(L267&lt;&gt;"",M267&lt;&gt;""),L267&amp;"-"&amp;M267,"")</f>
        <v/>
      </c>
      <c r="P267" s="14" t="str">
        <f>IF(AND(O267&lt;&gt;"",COUNTIF($O$2:$O$301,O267)&gt;1),"Två gäster på samma plats!","")</f>
        <v/>
      </c>
      <c r="Q267" s="15"/>
    </row>
    <row r="268" spans="1:17" x14ac:dyDescent="0.25">
      <c r="A268" s="15"/>
      <c r="B268" s="15"/>
      <c r="C268" s="15"/>
      <c r="D268" s="15"/>
      <c r="E268" s="15"/>
      <c r="F268" s="15"/>
      <c r="G268" s="15"/>
      <c r="H268" s="15"/>
      <c r="I268" s="15"/>
      <c r="J268" s="15"/>
      <c r="K268" s="15"/>
      <c r="L268" s="16"/>
      <c r="M268" s="16"/>
      <c r="N268" s="15"/>
      <c r="O268" s="15" t="str">
        <f>IF(AND(L268&lt;&gt;"",M268&lt;&gt;""),L268&amp;"-"&amp;M268,"")</f>
        <v/>
      </c>
      <c r="P268" s="14" t="str">
        <f>IF(AND(O268&lt;&gt;"",COUNTIF($O$2:$O$301,O268)&gt;1),"Två gäster på samma plats!","")</f>
        <v/>
      </c>
      <c r="Q268" s="15"/>
    </row>
    <row r="269" spans="1:17" x14ac:dyDescent="0.25">
      <c r="A269" s="15"/>
      <c r="B269" s="15"/>
      <c r="C269" s="15"/>
      <c r="D269" s="15"/>
      <c r="E269" s="15"/>
      <c r="F269" s="15"/>
      <c r="G269" s="15"/>
      <c r="H269" s="15"/>
      <c r="I269" s="15"/>
      <c r="J269" s="15"/>
      <c r="K269" s="15"/>
      <c r="L269" s="16"/>
      <c r="M269" s="16"/>
      <c r="N269" s="15"/>
      <c r="O269" s="15" t="str">
        <f>IF(AND(L269&lt;&gt;"",M269&lt;&gt;""),L269&amp;"-"&amp;M269,"")</f>
        <v/>
      </c>
      <c r="P269" s="14" t="str">
        <f>IF(AND(O269&lt;&gt;"",COUNTIF($O$2:$O$301,O269)&gt;1),"Två gäster på samma plats!","")</f>
        <v/>
      </c>
      <c r="Q269" s="15"/>
    </row>
    <row r="270" spans="1:17" x14ac:dyDescent="0.25">
      <c r="A270" s="15"/>
      <c r="B270" s="15"/>
      <c r="C270" s="15"/>
      <c r="D270" s="15"/>
      <c r="E270" s="15"/>
      <c r="F270" s="15"/>
      <c r="G270" s="15"/>
      <c r="H270" s="15"/>
      <c r="I270" s="15"/>
      <c r="J270" s="15"/>
      <c r="K270" s="15"/>
      <c r="L270" s="16"/>
      <c r="M270" s="16"/>
      <c r="N270" s="15"/>
      <c r="O270" s="15" t="str">
        <f>IF(AND(L270&lt;&gt;"",M270&lt;&gt;""),L270&amp;"-"&amp;M270,"")</f>
        <v/>
      </c>
      <c r="P270" s="14" t="str">
        <f>IF(AND(O270&lt;&gt;"",COUNTIF($O$2:$O$301,O270)&gt;1),"Två gäster på samma plats!","")</f>
        <v/>
      </c>
      <c r="Q270" s="15"/>
    </row>
    <row r="271" spans="1:17" x14ac:dyDescent="0.25">
      <c r="A271" s="15"/>
      <c r="B271" s="15"/>
      <c r="C271" s="15"/>
      <c r="D271" s="15"/>
      <c r="E271" s="15"/>
      <c r="F271" s="15"/>
      <c r="G271" s="15"/>
      <c r="H271" s="15"/>
      <c r="I271" s="15"/>
      <c r="J271" s="15"/>
      <c r="K271" s="15"/>
      <c r="L271" s="16"/>
      <c r="M271" s="16"/>
      <c r="N271" s="15"/>
      <c r="O271" s="15" t="str">
        <f>IF(AND(L271&lt;&gt;"",M271&lt;&gt;""),L271&amp;"-"&amp;M271,"")</f>
        <v/>
      </c>
      <c r="P271" s="14" t="str">
        <f>IF(AND(O271&lt;&gt;"",COUNTIF($O$2:$O$301,O271)&gt;1),"Två gäster på samma plats!","")</f>
        <v/>
      </c>
      <c r="Q271" s="15"/>
    </row>
    <row r="272" spans="1:17" x14ac:dyDescent="0.25">
      <c r="A272" s="15"/>
      <c r="B272" s="15"/>
      <c r="C272" s="15"/>
      <c r="D272" s="15"/>
      <c r="E272" s="15"/>
      <c r="F272" s="15"/>
      <c r="G272" s="15"/>
      <c r="H272" s="15"/>
      <c r="I272" s="15"/>
      <c r="J272" s="15"/>
      <c r="K272" s="15"/>
      <c r="L272" s="16"/>
      <c r="M272" s="16"/>
      <c r="N272" s="15"/>
      <c r="O272" s="15" t="str">
        <f>IF(AND(L272&lt;&gt;"",M272&lt;&gt;""),L272&amp;"-"&amp;M272,"")</f>
        <v/>
      </c>
      <c r="P272" s="14" t="str">
        <f>IF(AND(O272&lt;&gt;"",COUNTIF($O$2:$O$301,O272)&gt;1),"Två gäster på samma plats!","")</f>
        <v/>
      </c>
      <c r="Q272" s="15"/>
    </row>
    <row r="273" spans="1:17" x14ac:dyDescent="0.25">
      <c r="A273" s="15"/>
      <c r="B273" s="15"/>
      <c r="C273" s="15"/>
      <c r="D273" s="15"/>
      <c r="E273" s="15"/>
      <c r="F273" s="15"/>
      <c r="G273" s="15"/>
      <c r="H273" s="15"/>
      <c r="I273" s="15"/>
      <c r="J273" s="15"/>
      <c r="K273" s="15"/>
      <c r="L273" s="16"/>
      <c r="M273" s="16"/>
      <c r="N273" s="15"/>
      <c r="O273" s="15" t="str">
        <f>IF(AND(L273&lt;&gt;"",M273&lt;&gt;""),L273&amp;"-"&amp;M273,"")</f>
        <v/>
      </c>
      <c r="P273" s="14" t="str">
        <f>IF(AND(O273&lt;&gt;"",COUNTIF($O$2:$O$301,O273)&gt;1),"Två gäster på samma plats!","")</f>
        <v/>
      </c>
      <c r="Q273" s="15"/>
    </row>
    <row r="274" spans="1:17" x14ac:dyDescent="0.25">
      <c r="A274" s="15"/>
      <c r="B274" s="15"/>
      <c r="C274" s="15"/>
      <c r="D274" s="15"/>
      <c r="E274" s="15"/>
      <c r="F274" s="15"/>
      <c r="G274" s="15"/>
      <c r="H274" s="15"/>
      <c r="I274" s="15"/>
      <c r="J274" s="15"/>
      <c r="K274" s="15"/>
      <c r="L274" s="16"/>
      <c r="M274" s="16"/>
      <c r="N274" s="15"/>
      <c r="O274" s="15" t="str">
        <f>IF(AND(L274&lt;&gt;"",M274&lt;&gt;""),L274&amp;"-"&amp;M274,"")</f>
        <v/>
      </c>
      <c r="P274" s="14" t="str">
        <f>IF(AND(O274&lt;&gt;"",COUNTIF($O$2:$O$301,O274)&gt;1),"Två gäster på samma plats!","")</f>
        <v/>
      </c>
      <c r="Q274" s="15"/>
    </row>
    <row r="275" spans="1:17" x14ac:dyDescent="0.25">
      <c r="A275" s="15"/>
      <c r="B275" s="15"/>
      <c r="C275" s="15"/>
      <c r="D275" s="15"/>
      <c r="E275" s="15"/>
      <c r="F275" s="15"/>
      <c r="G275" s="15"/>
      <c r="H275" s="15"/>
      <c r="I275" s="15"/>
      <c r="J275" s="15"/>
      <c r="K275" s="15"/>
      <c r="L275" s="16"/>
      <c r="M275" s="16"/>
      <c r="N275" s="15"/>
      <c r="O275" s="15" t="str">
        <f>IF(AND(L275&lt;&gt;"",M275&lt;&gt;""),L275&amp;"-"&amp;M275,"")</f>
        <v/>
      </c>
      <c r="P275" s="14" t="str">
        <f>IF(AND(O275&lt;&gt;"",COUNTIF($O$2:$O$301,O275)&gt;1),"Två gäster på samma plats!","")</f>
        <v/>
      </c>
      <c r="Q275" s="15"/>
    </row>
    <row r="276" spans="1:17" x14ac:dyDescent="0.25">
      <c r="A276" s="15"/>
      <c r="B276" s="15"/>
      <c r="C276" s="15"/>
      <c r="D276" s="15"/>
      <c r="E276" s="15"/>
      <c r="F276" s="15"/>
      <c r="G276" s="15"/>
      <c r="H276" s="15"/>
      <c r="I276" s="15"/>
      <c r="J276" s="15"/>
      <c r="K276" s="15"/>
      <c r="L276" s="16"/>
      <c r="M276" s="16"/>
      <c r="N276" s="15"/>
      <c r="O276" s="15" t="str">
        <f>IF(AND(L276&lt;&gt;"",M276&lt;&gt;""),L276&amp;"-"&amp;M276,"")</f>
        <v/>
      </c>
      <c r="P276" s="14" t="str">
        <f>IF(AND(O276&lt;&gt;"",COUNTIF($O$2:$O$301,O276)&gt;1),"Två gäster på samma plats!","")</f>
        <v/>
      </c>
      <c r="Q276" s="15"/>
    </row>
    <row r="277" spans="1:17" x14ac:dyDescent="0.25">
      <c r="A277" s="15"/>
      <c r="B277" s="15"/>
      <c r="C277" s="15"/>
      <c r="D277" s="15"/>
      <c r="E277" s="15"/>
      <c r="F277" s="15"/>
      <c r="G277" s="15"/>
      <c r="H277" s="15"/>
      <c r="I277" s="15"/>
      <c r="J277" s="15"/>
      <c r="K277" s="15"/>
      <c r="L277" s="16"/>
      <c r="M277" s="16"/>
      <c r="N277" s="15"/>
      <c r="O277" s="15" t="str">
        <f>IF(AND(L277&lt;&gt;"",M277&lt;&gt;""),L277&amp;"-"&amp;M277,"")</f>
        <v/>
      </c>
      <c r="P277" s="14" t="str">
        <f>IF(AND(O277&lt;&gt;"",COUNTIF($O$2:$O$301,O277)&gt;1),"Två gäster på samma plats!","")</f>
        <v/>
      </c>
      <c r="Q277" s="15"/>
    </row>
    <row r="278" spans="1:17" x14ac:dyDescent="0.25">
      <c r="A278" s="15"/>
      <c r="B278" s="15"/>
      <c r="C278" s="15"/>
      <c r="D278" s="15"/>
      <c r="E278" s="15"/>
      <c r="F278" s="15"/>
      <c r="G278" s="15"/>
      <c r="H278" s="15"/>
      <c r="I278" s="15"/>
      <c r="J278" s="15"/>
      <c r="K278" s="15"/>
      <c r="L278" s="16"/>
      <c r="M278" s="16"/>
      <c r="N278" s="15"/>
      <c r="O278" s="15" t="str">
        <f>IF(AND(L278&lt;&gt;"",M278&lt;&gt;""),L278&amp;"-"&amp;M278,"")</f>
        <v/>
      </c>
      <c r="P278" s="14" t="str">
        <f>IF(AND(O278&lt;&gt;"",COUNTIF($O$2:$O$301,O278)&gt;1),"Två gäster på samma plats!","")</f>
        <v/>
      </c>
      <c r="Q278" s="15"/>
    </row>
    <row r="279" spans="1:17" x14ac:dyDescent="0.25">
      <c r="A279" s="15"/>
      <c r="B279" s="15"/>
      <c r="C279" s="15"/>
      <c r="D279" s="15"/>
      <c r="E279" s="15"/>
      <c r="F279" s="15"/>
      <c r="G279" s="15"/>
      <c r="H279" s="15"/>
      <c r="I279" s="15"/>
      <c r="J279" s="15"/>
      <c r="K279" s="15"/>
      <c r="L279" s="16"/>
      <c r="M279" s="16"/>
      <c r="N279" s="15"/>
      <c r="O279" s="15" t="str">
        <f>IF(AND(L279&lt;&gt;"",M279&lt;&gt;""),L279&amp;"-"&amp;M279,"")</f>
        <v/>
      </c>
      <c r="P279" s="14" t="str">
        <f>IF(AND(O279&lt;&gt;"",COUNTIF($O$2:$O$301,O279)&gt;1),"Två gäster på samma plats!","")</f>
        <v/>
      </c>
      <c r="Q279" s="15"/>
    </row>
    <row r="280" spans="1:17" x14ac:dyDescent="0.25">
      <c r="A280" s="15"/>
      <c r="B280" s="15"/>
      <c r="C280" s="15"/>
      <c r="D280" s="15"/>
      <c r="E280" s="15"/>
      <c r="F280" s="15"/>
      <c r="G280" s="15"/>
      <c r="H280" s="15"/>
      <c r="I280" s="15"/>
      <c r="J280" s="15"/>
      <c r="K280" s="15"/>
      <c r="L280" s="16"/>
      <c r="M280" s="16"/>
      <c r="N280" s="15"/>
      <c r="O280" s="15" t="str">
        <f>IF(AND(L280&lt;&gt;"",M280&lt;&gt;""),L280&amp;"-"&amp;M280,"")</f>
        <v/>
      </c>
      <c r="P280" s="14" t="str">
        <f>IF(AND(O280&lt;&gt;"",COUNTIF($O$2:$O$301,O280)&gt;1),"Två gäster på samma plats!","")</f>
        <v/>
      </c>
      <c r="Q280" s="15"/>
    </row>
    <row r="281" spans="1:17" x14ac:dyDescent="0.25">
      <c r="A281" s="15"/>
      <c r="B281" s="15"/>
      <c r="C281" s="15"/>
      <c r="D281" s="15"/>
      <c r="E281" s="15"/>
      <c r="F281" s="15"/>
      <c r="G281" s="15"/>
      <c r="H281" s="15"/>
      <c r="I281" s="15"/>
      <c r="J281" s="15"/>
      <c r="K281" s="15"/>
      <c r="L281" s="16"/>
      <c r="M281" s="16"/>
      <c r="N281" s="15"/>
      <c r="O281" s="15" t="str">
        <f>IF(AND(L281&lt;&gt;"",M281&lt;&gt;""),L281&amp;"-"&amp;M281,"")</f>
        <v/>
      </c>
      <c r="P281" s="14" t="str">
        <f>IF(AND(O281&lt;&gt;"",COUNTIF($O$2:$O$301,O281)&gt;1),"Två gäster på samma plats!","")</f>
        <v/>
      </c>
      <c r="Q281" s="15"/>
    </row>
    <row r="282" spans="1:17" x14ac:dyDescent="0.25">
      <c r="A282" s="15"/>
      <c r="B282" s="15"/>
      <c r="C282" s="15"/>
      <c r="D282" s="15"/>
      <c r="E282" s="15"/>
      <c r="F282" s="15"/>
      <c r="G282" s="15"/>
      <c r="H282" s="15"/>
      <c r="I282" s="15"/>
      <c r="J282" s="15"/>
      <c r="K282" s="15"/>
      <c r="L282" s="16"/>
      <c r="M282" s="16"/>
      <c r="N282" s="15"/>
      <c r="O282" s="15" t="str">
        <f>IF(AND(L282&lt;&gt;"",M282&lt;&gt;""),L282&amp;"-"&amp;M282,"")</f>
        <v/>
      </c>
      <c r="P282" s="14" t="str">
        <f>IF(AND(O282&lt;&gt;"",COUNTIF($O$2:$O$301,O282)&gt;1),"Två gäster på samma plats!","")</f>
        <v/>
      </c>
      <c r="Q282" s="15"/>
    </row>
    <row r="283" spans="1:17" x14ac:dyDescent="0.25">
      <c r="A283" s="15"/>
      <c r="B283" s="15"/>
      <c r="C283" s="15"/>
      <c r="D283" s="15"/>
      <c r="E283" s="15"/>
      <c r="F283" s="15"/>
      <c r="G283" s="15"/>
      <c r="H283" s="15"/>
      <c r="I283" s="15"/>
      <c r="J283" s="15"/>
      <c r="K283" s="15"/>
      <c r="L283" s="16"/>
      <c r="M283" s="16"/>
      <c r="N283" s="15"/>
      <c r="O283" s="15" t="str">
        <f>IF(AND(L283&lt;&gt;"",M283&lt;&gt;""),L283&amp;"-"&amp;M283,"")</f>
        <v/>
      </c>
      <c r="P283" s="14" t="str">
        <f>IF(AND(O283&lt;&gt;"",COUNTIF($O$2:$O$301,O283)&gt;1),"Två gäster på samma plats!","")</f>
        <v/>
      </c>
      <c r="Q283" s="15"/>
    </row>
    <row r="284" spans="1:17" x14ac:dyDescent="0.25">
      <c r="A284" s="15"/>
      <c r="B284" s="15"/>
      <c r="C284" s="15"/>
      <c r="D284" s="15"/>
      <c r="E284" s="15"/>
      <c r="F284" s="15"/>
      <c r="G284" s="15"/>
      <c r="H284" s="15"/>
      <c r="I284" s="15"/>
      <c r="J284" s="15"/>
      <c r="K284" s="15"/>
      <c r="L284" s="16"/>
      <c r="M284" s="16"/>
      <c r="N284" s="15"/>
      <c r="O284" s="15" t="str">
        <f>IF(AND(L284&lt;&gt;"",M284&lt;&gt;""),L284&amp;"-"&amp;M284,"")</f>
        <v/>
      </c>
      <c r="P284" s="14" t="str">
        <f>IF(AND(O284&lt;&gt;"",COUNTIF($O$2:$O$301,O284)&gt;1),"Två gäster på samma plats!","")</f>
        <v/>
      </c>
      <c r="Q284" s="15"/>
    </row>
    <row r="285" spans="1:17" x14ac:dyDescent="0.25">
      <c r="A285" s="15"/>
      <c r="B285" s="15"/>
      <c r="C285" s="15"/>
      <c r="D285" s="15"/>
      <c r="E285" s="15"/>
      <c r="F285" s="15"/>
      <c r="G285" s="15"/>
      <c r="H285" s="15"/>
      <c r="I285" s="15"/>
      <c r="J285" s="15"/>
      <c r="K285" s="15"/>
      <c r="L285" s="16"/>
      <c r="M285" s="16"/>
      <c r="N285" s="15"/>
      <c r="O285" s="15" t="str">
        <f>IF(AND(L285&lt;&gt;"",M285&lt;&gt;""),L285&amp;"-"&amp;M285,"")</f>
        <v/>
      </c>
      <c r="P285" s="14" t="str">
        <f>IF(AND(O285&lt;&gt;"",COUNTIF($O$2:$O$301,O285)&gt;1),"Två gäster på samma plats!","")</f>
        <v/>
      </c>
      <c r="Q285" s="15"/>
    </row>
    <row r="286" spans="1:17" x14ac:dyDescent="0.25">
      <c r="A286" s="15"/>
      <c r="B286" s="15"/>
      <c r="C286" s="15"/>
      <c r="D286" s="15"/>
      <c r="E286" s="15"/>
      <c r="F286" s="15"/>
      <c r="G286" s="15"/>
      <c r="H286" s="15"/>
      <c r="I286" s="15"/>
      <c r="J286" s="15"/>
      <c r="K286" s="15"/>
      <c r="L286" s="16"/>
      <c r="M286" s="16"/>
      <c r="N286" s="15"/>
      <c r="O286" s="15" t="str">
        <f>IF(AND(L286&lt;&gt;"",M286&lt;&gt;""),L286&amp;"-"&amp;M286,"")</f>
        <v/>
      </c>
      <c r="P286" s="14" t="str">
        <f>IF(AND(O286&lt;&gt;"",COUNTIF($O$2:$O$301,O286)&gt;1),"Två gäster på samma plats!","")</f>
        <v/>
      </c>
      <c r="Q286" s="15"/>
    </row>
    <row r="287" spans="1:17" x14ac:dyDescent="0.25">
      <c r="A287" s="15"/>
      <c r="B287" s="15"/>
      <c r="C287" s="15"/>
      <c r="D287" s="15"/>
      <c r="E287" s="15"/>
      <c r="F287" s="15"/>
      <c r="G287" s="15"/>
      <c r="H287" s="15"/>
      <c r="I287" s="15"/>
      <c r="J287" s="15"/>
      <c r="K287" s="15"/>
      <c r="L287" s="16"/>
      <c r="M287" s="16"/>
      <c r="N287" s="15"/>
      <c r="O287" s="15" t="str">
        <f>IF(AND(L287&lt;&gt;"",M287&lt;&gt;""),L287&amp;"-"&amp;M287,"")</f>
        <v/>
      </c>
      <c r="P287" s="14" t="str">
        <f>IF(AND(O287&lt;&gt;"",COUNTIF($O$2:$O$301,O287)&gt;1),"Två gäster på samma plats!","")</f>
        <v/>
      </c>
      <c r="Q287" s="15"/>
    </row>
    <row r="288" spans="1:17" x14ac:dyDescent="0.25">
      <c r="A288" s="15"/>
      <c r="B288" s="15"/>
      <c r="C288" s="15"/>
      <c r="D288" s="15"/>
      <c r="E288" s="15"/>
      <c r="F288" s="15"/>
      <c r="G288" s="15"/>
      <c r="H288" s="15"/>
      <c r="I288" s="15"/>
      <c r="J288" s="15"/>
      <c r="K288" s="15"/>
      <c r="L288" s="16"/>
      <c r="M288" s="16"/>
      <c r="N288" s="15"/>
      <c r="O288" s="15" t="str">
        <f>IF(AND(L288&lt;&gt;"",M288&lt;&gt;""),L288&amp;"-"&amp;M288,"")</f>
        <v/>
      </c>
      <c r="P288" s="14" t="str">
        <f>IF(AND(O288&lt;&gt;"",COUNTIF($O$2:$O$301,O288)&gt;1),"Två gäster på samma plats!","")</f>
        <v/>
      </c>
      <c r="Q288" s="15"/>
    </row>
    <row r="289" spans="1:17" x14ac:dyDescent="0.25">
      <c r="A289" s="15"/>
      <c r="B289" s="15"/>
      <c r="C289" s="15"/>
      <c r="D289" s="15"/>
      <c r="E289" s="15"/>
      <c r="F289" s="15"/>
      <c r="G289" s="15"/>
      <c r="H289" s="15"/>
      <c r="I289" s="15"/>
      <c r="J289" s="15"/>
      <c r="K289" s="15"/>
      <c r="L289" s="16"/>
      <c r="M289" s="16"/>
      <c r="N289" s="15"/>
      <c r="O289" s="15" t="str">
        <f>IF(AND(L289&lt;&gt;"",M289&lt;&gt;""),L289&amp;"-"&amp;M289,"")</f>
        <v/>
      </c>
      <c r="P289" s="14" t="str">
        <f>IF(AND(O289&lt;&gt;"",COUNTIF($O$2:$O$301,O289)&gt;1),"Två gäster på samma plats!","")</f>
        <v/>
      </c>
      <c r="Q289" s="15"/>
    </row>
    <row r="290" spans="1:17" x14ac:dyDescent="0.25">
      <c r="A290" s="15"/>
      <c r="B290" s="15"/>
      <c r="C290" s="15"/>
      <c r="D290" s="15"/>
      <c r="E290" s="15"/>
      <c r="F290" s="15"/>
      <c r="G290" s="15"/>
      <c r="H290" s="15"/>
      <c r="I290" s="15"/>
      <c r="J290" s="15"/>
      <c r="K290" s="15"/>
      <c r="L290" s="16"/>
      <c r="M290" s="16"/>
      <c r="N290" s="15"/>
      <c r="O290" s="15" t="str">
        <f>IF(AND(L290&lt;&gt;"",M290&lt;&gt;""),L290&amp;"-"&amp;M290,"")</f>
        <v/>
      </c>
      <c r="P290" s="14" t="str">
        <f>IF(AND(O290&lt;&gt;"",COUNTIF($O$2:$O$301,O290)&gt;1),"Två gäster på samma plats!","")</f>
        <v/>
      </c>
      <c r="Q290" s="15"/>
    </row>
    <row r="291" spans="1:17" x14ac:dyDescent="0.25">
      <c r="A291" s="15"/>
      <c r="B291" s="15"/>
      <c r="C291" s="15"/>
      <c r="D291" s="15"/>
      <c r="E291" s="15"/>
      <c r="F291" s="15"/>
      <c r="G291" s="15"/>
      <c r="H291" s="15"/>
      <c r="I291" s="15"/>
      <c r="J291" s="15"/>
      <c r="K291" s="15"/>
      <c r="L291" s="16"/>
      <c r="M291" s="16"/>
      <c r="N291" s="15"/>
      <c r="O291" s="15" t="str">
        <f>IF(AND(L291&lt;&gt;"",M291&lt;&gt;""),L291&amp;"-"&amp;M291,"")</f>
        <v/>
      </c>
      <c r="P291" s="14" t="str">
        <f>IF(AND(O291&lt;&gt;"",COUNTIF($O$2:$O$301,O291)&gt;1),"Två gäster på samma plats!","")</f>
        <v/>
      </c>
      <c r="Q291" s="15"/>
    </row>
    <row r="292" spans="1:17" x14ac:dyDescent="0.25">
      <c r="A292" s="15"/>
      <c r="B292" s="15"/>
      <c r="C292" s="15"/>
      <c r="D292" s="15"/>
      <c r="E292" s="15"/>
      <c r="F292" s="15"/>
      <c r="G292" s="15"/>
      <c r="H292" s="15"/>
      <c r="I292" s="15"/>
      <c r="J292" s="15"/>
      <c r="K292" s="15"/>
      <c r="L292" s="16"/>
      <c r="M292" s="16"/>
      <c r="N292" s="15"/>
      <c r="O292" s="15" t="str">
        <f>IF(AND(L292&lt;&gt;"",M292&lt;&gt;""),L292&amp;"-"&amp;M292,"")</f>
        <v/>
      </c>
      <c r="P292" s="14" t="str">
        <f>IF(AND(O292&lt;&gt;"",COUNTIF($O$2:$O$301,O292)&gt;1),"Två gäster på samma plats!","")</f>
        <v/>
      </c>
      <c r="Q292" s="15"/>
    </row>
    <row r="293" spans="1:17" x14ac:dyDescent="0.25">
      <c r="A293" s="15"/>
      <c r="B293" s="15"/>
      <c r="C293" s="15"/>
      <c r="D293" s="15"/>
      <c r="E293" s="15"/>
      <c r="F293" s="15"/>
      <c r="G293" s="15"/>
      <c r="H293" s="15"/>
      <c r="I293" s="15"/>
      <c r="J293" s="15"/>
      <c r="K293" s="15"/>
      <c r="L293" s="16"/>
      <c r="M293" s="16"/>
      <c r="N293" s="15"/>
      <c r="O293" s="15" t="str">
        <f>IF(AND(L293&lt;&gt;"",M293&lt;&gt;""),L293&amp;"-"&amp;M293,"")</f>
        <v/>
      </c>
      <c r="P293" s="14" t="str">
        <f>IF(AND(O293&lt;&gt;"",COUNTIF($O$2:$O$301,O293)&gt;1),"Två gäster på samma plats!","")</f>
        <v/>
      </c>
      <c r="Q293" s="15"/>
    </row>
    <row r="294" spans="1:17" x14ac:dyDescent="0.25">
      <c r="A294" s="15"/>
      <c r="B294" s="15"/>
      <c r="C294" s="15"/>
      <c r="D294" s="15"/>
      <c r="E294" s="15"/>
      <c r="F294" s="15"/>
      <c r="G294" s="15"/>
      <c r="H294" s="15"/>
      <c r="I294" s="15"/>
      <c r="J294" s="15"/>
      <c r="K294" s="15"/>
      <c r="L294" s="16"/>
      <c r="M294" s="16"/>
      <c r="N294" s="15"/>
      <c r="O294" s="15" t="str">
        <f>IF(AND(L294&lt;&gt;"",M294&lt;&gt;""),L294&amp;"-"&amp;M294,"")</f>
        <v/>
      </c>
      <c r="P294" s="14" t="str">
        <f>IF(AND(O294&lt;&gt;"",COUNTIF($O$2:$O$301,O294)&gt;1),"Två gäster på samma plats!","")</f>
        <v/>
      </c>
      <c r="Q294" s="15"/>
    </row>
    <row r="295" spans="1:17" x14ac:dyDescent="0.25">
      <c r="A295" s="15"/>
      <c r="B295" s="15"/>
      <c r="C295" s="15"/>
      <c r="D295" s="15"/>
      <c r="E295" s="15"/>
      <c r="F295" s="15"/>
      <c r="G295" s="15"/>
      <c r="H295" s="15"/>
      <c r="I295" s="15"/>
      <c r="J295" s="15"/>
      <c r="K295" s="15"/>
      <c r="L295" s="16"/>
      <c r="M295" s="16"/>
      <c r="N295" s="15"/>
      <c r="O295" s="15" t="str">
        <f>IF(AND(L295&lt;&gt;"",M295&lt;&gt;""),L295&amp;"-"&amp;M295,"")</f>
        <v/>
      </c>
      <c r="P295" s="14" t="str">
        <f>IF(AND(O295&lt;&gt;"",COUNTIF($O$2:$O$301,O295)&gt;1),"Två gäster på samma plats!","")</f>
        <v/>
      </c>
      <c r="Q295" s="15"/>
    </row>
    <row r="296" spans="1:17" x14ac:dyDescent="0.25">
      <c r="A296" s="15"/>
      <c r="B296" s="15"/>
      <c r="C296" s="15"/>
      <c r="D296" s="15"/>
      <c r="E296" s="15"/>
      <c r="F296" s="15"/>
      <c r="G296" s="15"/>
      <c r="H296" s="15"/>
      <c r="I296" s="15"/>
      <c r="J296" s="15"/>
      <c r="K296" s="15"/>
      <c r="L296" s="16"/>
      <c r="M296" s="16"/>
      <c r="N296" s="15"/>
      <c r="O296" s="15" t="str">
        <f>IF(AND(L296&lt;&gt;"",M296&lt;&gt;""),L296&amp;"-"&amp;M296,"")</f>
        <v/>
      </c>
      <c r="P296" s="14" t="str">
        <f>IF(AND(O296&lt;&gt;"",COUNTIF($O$2:$O$301,O296)&gt;1),"Två gäster på samma plats!","")</f>
        <v/>
      </c>
      <c r="Q296" s="15"/>
    </row>
    <row r="297" spans="1:17" x14ac:dyDescent="0.25">
      <c r="A297" s="15"/>
      <c r="B297" s="15"/>
      <c r="C297" s="15"/>
      <c r="D297" s="15"/>
      <c r="E297" s="15"/>
      <c r="F297" s="15"/>
      <c r="G297" s="15"/>
      <c r="H297" s="15"/>
      <c r="I297" s="15"/>
      <c r="J297" s="15"/>
      <c r="K297" s="15"/>
      <c r="L297" s="16"/>
      <c r="M297" s="16"/>
      <c r="N297" s="15"/>
      <c r="O297" s="15" t="str">
        <f>IF(AND(L297&lt;&gt;"",M297&lt;&gt;""),L297&amp;"-"&amp;M297,"")</f>
        <v/>
      </c>
      <c r="P297" s="14" t="str">
        <f>IF(AND(O297&lt;&gt;"",COUNTIF($O$2:$O$301,O297)&gt;1),"Två gäster på samma plats!","")</f>
        <v/>
      </c>
      <c r="Q297" s="15"/>
    </row>
    <row r="298" spans="1:17" x14ac:dyDescent="0.25">
      <c r="A298" s="15"/>
      <c r="B298" s="15"/>
      <c r="C298" s="15"/>
      <c r="D298" s="15"/>
      <c r="E298" s="15"/>
      <c r="F298" s="15"/>
      <c r="G298" s="15"/>
      <c r="H298" s="15"/>
      <c r="I298" s="15"/>
      <c r="J298" s="15"/>
      <c r="K298" s="15"/>
      <c r="L298" s="16"/>
      <c r="M298" s="16"/>
      <c r="N298" s="15"/>
      <c r="O298" s="15" t="str">
        <f>IF(AND(L298&lt;&gt;"",M298&lt;&gt;""),L298&amp;"-"&amp;M298,"")</f>
        <v/>
      </c>
      <c r="P298" s="14" t="str">
        <f>IF(AND(O298&lt;&gt;"",COUNTIF($O$2:$O$301,O298)&gt;1),"Två gäster på samma plats!","")</f>
        <v/>
      </c>
      <c r="Q298" s="15"/>
    </row>
    <row r="299" spans="1:17" x14ac:dyDescent="0.25">
      <c r="A299" s="15"/>
      <c r="B299" s="15"/>
      <c r="C299" s="15"/>
      <c r="D299" s="15"/>
      <c r="E299" s="15"/>
      <c r="F299" s="15"/>
      <c r="G299" s="15"/>
      <c r="H299" s="15"/>
      <c r="I299" s="15"/>
      <c r="J299" s="15"/>
      <c r="K299" s="15"/>
      <c r="L299" s="16"/>
      <c r="M299" s="16"/>
      <c r="N299" s="15"/>
      <c r="O299" s="15" t="str">
        <f>IF(AND(L299&lt;&gt;"",M299&lt;&gt;""),L299&amp;"-"&amp;M299,"")</f>
        <v/>
      </c>
      <c r="P299" s="14" t="str">
        <f>IF(AND(O299&lt;&gt;"",COUNTIF($O$2:$O$301,O299)&gt;1),"Två gäster på samma plats!","")</f>
        <v/>
      </c>
      <c r="Q299" s="15"/>
    </row>
    <row r="300" spans="1:17" x14ac:dyDescent="0.25">
      <c r="A300" s="15"/>
      <c r="B300" s="15"/>
      <c r="C300" s="15"/>
      <c r="D300" s="15"/>
      <c r="E300" s="15"/>
      <c r="F300" s="15"/>
      <c r="G300" s="15"/>
      <c r="H300" s="15"/>
      <c r="I300" s="15"/>
      <c r="J300" s="15"/>
      <c r="K300" s="15"/>
      <c r="L300" s="16"/>
      <c r="M300" s="16"/>
      <c r="N300" s="15"/>
      <c r="O300" s="15" t="str">
        <f>IF(AND(L300&lt;&gt;"",M300&lt;&gt;""),L300&amp;"-"&amp;M300,"")</f>
        <v/>
      </c>
      <c r="P300" s="14" t="str">
        <f>IF(AND(O300&lt;&gt;"",COUNTIF($O$2:$O$301,O300)&gt;1),"Två gäster på samma plats!","")</f>
        <v/>
      </c>
      <c r="Q300" s="15"/>
    </row>
    <row r="301" spans="1:17" x14ac:dyDescent="0.25">
      <c r="A301" s="15"/>
      <c r="B301" s="15"/>
      <c r="C301" s="15"/>
      <c r="D301" s="15"/>
      <c r="E301" s="15"/>
      <c r="F301" s="15"/>
      <c r="G301" s="15"/>
      <c r="H301" s="15"/>
      <c r="I301" s="15"/>
      <c r="J301" s="15"/>
      <c r="K301" s="15"/>
      <c r="L301" s="16"/>
      <c r="M301" s="16"/>
      <c r="N301" s="15"/>
      <c r="O301" s="15" t="str">
        <f>IF(AND(L301&lt;&gt;"",M301&lt;&gt;""),L301&amp;"-"&amp;M301,"")</f>
        <v/>
      </c>
      <c r="P301" s="14" t="str">
        <f>IF(AND(O301&lt;&gt;"",COUNTIF($O$2:$O$301,O301)&gt;1),"Två gäster på samma plats!","")</f>
        <v/>
      </c>
      <c r="Q301" s="15"/>
    </row>
  </sheetData>
  <autoFilter ref="A1:Q301"/>
  <conditionalFormatting sqref="A2:P301">
    <cfRule type="expression" dxfId="0" priority="1">
      <formula>$P2&lt;&gt;""</formula>
    </cfRule>
  </conditionalFormatting>
  <dataValidations count="7">
    <dataValidation type="list" allowBlank="1" showErrorMessage="1" errorStyle="stop" errorTitle="Dam/Herre" error="Välj ett värde i listan: Dam, Herre." sqref="C2:C301">
      <formula1>"Dam,Herre"</formula1>
    </dataValidation>
    <dataValidation type="list" allowBlank="1" sqref="F2:F301">
      <formula1>"Familj,Vänner,Jobbet,Grannar"</formula1>
    </dataValidation>
    <dataValidation type="list" allowBlank="1" showErrorMessage="1" errorStyle="stop" errorTitle="Roll" error="Välj ett värde i listan: Värd, Värdinna, Hedersgäst, Brud, Brudgum, Toastmaster." sqref="G2:G301">
      <formula1>"Värd,Värdinna,Hedersgäst,Brud,Brudgum,Toastmaster"</formula1>
    </dataValidation>
    <dataValidation type="list" allowBlank="1" sqref="H2:H301">
      <formula1>"Vegetarisk,Vegansk,Glutenfri,Laktosfri,Nötallergi,Skaldjursallergi,Annat"</formula1>
    </dataValidation>
    <dataValidation type="list" allowBlank="1" showErrorMessage="1" errorStyle="stop" errorTitle="Barn" error="Välj ett värde i listan: Ja." sqref="I2:I301">
      <formula1>"Ja"</formula1>
    </dataValidation>
    <dataValidation type="list" allowBlank="1" showErrorMessage="1" errorStyle="warning" errorTitle="Bord" error="Bordet finns inte i fliken Bord. Lägg till det där, så kommer det med i listan." sqref="L2:L301">
      <formula1>'Bord'!$A$2:$A$31</formula1>
    </dataValidation>
    <dataValidation type="whole" operator="greaterThanOrEqual" allowBlank="1" showErrorMessage="1" errorStyle="stop" errorTitle="Plats" error="Skriv ett heltal, 1 eller mer." sqref="M2:M301">
      <formula1>1</formula1>
    </dataValidation>
  </dataValidations>
  <pageMargins left="0.5" right="0.5" top="0.6" bottom="0.6" header="0.3" footer="0.3"/>
  <pageSetup paperSize="9" orientation="landscape" horizontalDpi="4294967295" verticalDpi="4294967295" scale="100" fitToWidth="1" fitToHeight="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5"/>
  <sheetViews>
    <sheetView workbookViewId="0">
      <pane ySplit="1" topLeftCell="A2" activePane="bottomLeft" state="frozen"/>
      <selection pane="bottomLeft" activeCell="A2" sqref="A2"/>
    </sheetView>
  </sheetViews>
  <sheetFormatPr defaultRowHeight="15" outlineLevelRow="0" outlineLevelCol="0" x14ac:dyDescent="55"/>
  <cols>
    <col min="1" max="1" width="8" customWidth="1"/>
    <col min="2" max="2" width="18" customWidth="1"/>
    <col min="3" max="3" width="11" customWidth="1"/>
    <col min="4" max="4" width="8" customWidth="1"/>
    <col min="5" max="5" width="10" customWidth="1"/>
    <col min="6" max="6" width="8" customWidth="1"/>
    <col min="7" max="7" width="11" customWidth="1"/>
    <col min="8" max="9" width="8" customWidth="1"/>
  </cols>
  <sheetData>
    <row r="1" ht="22" customHeight="1" spans="1:9" x14ac:dyDescent="0.25">
      <c r="A1" s="11" t="s">
        <v>67</v>
      </c>
      <c r="B1" s="11" t="s">
        <v>68</v>
      </c>
      <c r="C1" s="11" t="s">
        <v>69</v>
      </c>
      <c r="D1" s="11" t="s">
        <v>70</v>
      </c>
      <c r="E1" s="11" t="s">
        <v>71</v>
      </c>
      <c r="F1" s="11" t="s">
        <v>72</v>
      </c>
      <c r="G1" s="11" t="s">
        <v>73</v>
      </c>
      <c r="H1" s="11" t="s">
        <v>74</v>
      </c>
      <c r="I1" s="11" t="s">
        <v>75</v>
      </c>
    </row>
    <row r="2" spans="1:9" x14ac:dyDescent="0.25">
      <c r="A2" s="17">
        <v>1</v>
      </c>
      <c r="B2" s="15" t="s">
        <v>76</v>
      </c>
      <c r="C2" s="15" t="s">
        <v>77</v>
      </c>
      <c r="D2" s="17">
        <v>8</v>
      </c>
      <c r="E2" s="17">
        <f>IF($A2="","",COUNTIF('Gäster'!$L$2:$L$301,A2))</f>
        <v>3</v>
      </c>
      <c r="F2" s="17">
        <f>IF($A2="","",D2-E2)</f>
        <v>5</v>
      </c>
      <c r="G2" s="15" t="str">
        <f>IF($A2="","",IF(F2&lt;0,"Överfullt",IF(F2=0,"Fullt","")))</f>
        <v/>
      </c>
      <c r="H2" s="17">
        <f>IF($A2="","",COUNTIFS('Gäster'!$L$2:$L$301,A2,'Gäster'!$C$2:$C$301,"Dam"))</f>
        <v>2</v>
      </c>
      <c r="I2" s="17">
        <f>IF($A2="","",COUNTIFS('Gäster'!$L$2:$L$301,A2,'Gäster'!$C$2:$C$301,"Herre"))</f>
        <v>1</v>
      </c>
    </row>
    <row r="3" spans="1:9" x14ac:dyDescent="0.25">
      <c r="A3" s="17">
        <v>2</v>
      </c>
      <c r="B3" s="15" t="s">
        <v>78</v>
      </c>
      <c r="C3" s="15" t="s">
        <v>77</v>
      </c>
      <c r="D3" s="17">
        <v>8</v>
      </c>
      <c r="E3" s="17">
        <f>IF($A3="","",COUNTIF('Gäster'!$L$2:$L$301,A3))</f>
        <v>3</v>
      </c>
      <c r="F3" s="17">
        <f>IF($A3="","",D3-E3)</f>
        <v>5</v>
      </c>
      <c r="G3" s="15" t="str">
        <f>IF($A3="","",IF(F3&lt;0,"Överfullt",IF(F3=0,"Fullt","")))</f>
        <v/>
      </c>
      <c r="H3" s="17">
        <f>IF($A3="","",COUNTIFS('Gäster'!$L$2:$L$301,A3,'Gäster'!$C$2:$C$301,"Dam"))</f>
        <v>1</v>
      </c>
      <c r="I3" s="17">
        <f>IF($A3="","",COUNTIFS('Gäster'!$L$2:$L$301,A3,'Gäster'!$C$2:$C$301,"Herre"))</f>
        <v>2</v>
      </c>
    </row>
    <row r="4" spans="1:9" x14ac:dyDescent="0.25">
      <c r="A4" s="17">
        <v>3</v>
      </c>
      <c r="B4" s="15" t="s">
        <v>79</v>
      </c>
      <c r="C4" s="15" t="s">
        <v>77</v>
      </c>
      <c r="D4" s="17">
        <v>8</v>
      </c>
      <c r="E4" s="17">
        <f>IF($A4="","",COUNTIF('Gäster'!$L$2:$L$301,A4))</f>
        <v>0</v>
      </c>
      <c r="F4" s="17">
        <f>IF($A4="","",D4-E4)</f>
        <v>8</v>
      </c>
      <c r="G4" s="15" t="str">
        <f>IF($A4="","",IF(F4&lt;0,"Överfullt",IF(F4=0,"Fullt","")))</f>
        <v/>
      </c>
      <c r="H4" s="17">
        <f>IF($A4="","",COUNTIFS('Gäster'!$L$2:$L$301,A4,'Gäster'!$C$2:$C$301,"Dam"))</f>
        <v>0</v>
      </c>
      <c r="I4" s="17">
        <f>IF($A4="","",COUNTIFS('Gäster'!$L$2:$L$301,A4,'Gäster'!$C$2:$C$301,"Herre"))</f>
        <v>0</v>
      </c>
    </row>
    <row r="5" spans="1:9" x14ac:dyDescent="0.25">
      <c r="A5" s="17">
        <v>4</v>
      </c>
      <c r="B5" s="15" t="s">
        <v>80</v>
      </c>
      <c r="C5" s="15" t="s">
        <v>77</v>
      </c>
      <c r="D5" s="17">
        <v>8</v>
      </c>
      <c r="E5" s="17">
        <f>IF($A5="","",COUNTIF('Gäster'!$L$2:$L$301,A5))</f>
        <v>0</v>
      </c>
      <c r="F5" s="17">
        <f>IF($A5="","",D5-E5)</f>
        <v>8</v>
      </c>
      <c r="G5" s="15" t="str">
        <f>IF($A5="","",IF(F5&lt;0,"Överfullt",IF(F5=0,"Fullt","")))</f>
        <v/>
      </c>
      <c r="H5" s="17">
        <f>IF($A5="","",COUNTIFS('Gäster'!$L$2:$L$301,A5,'Gäster'!$C$2:$C$301,"Dam"))</f>
        <v>0</v>
      </c>
      <c r="I5" s="17">
        <f>IF($A5="","",COUNTIFS('Gäster'!$L$2:$L$301,A5,'Gäster'!$C$2:$C$301,"Herre"))</f>
        <v>0</v>
      </c>
    </row>
    <row r="6" spans="1:9" x14ac:dyDescent="0.25">
      <c r="A6" s="17">
        <v>5</v>
      </c>
      <c r="B6" s="15" t="s">
        <v>81</v>
      </c>
      <c r="C6" s="15" t="s">
        <v>77</v>
      </c>
      <c r="D6" s="17">
        <v>8</v>
      </c>
      <c r="E6" s="17">
        <f>IF($A6="","",COUNTIF('Gäster'!$L$2:$L$301,A6))</f>
        <v>0</v>
      </c>
      <c r="F6" s="17">
        <f>IF($A6="","",D6-E6)</f>
        <v>8</v>
      </c>
      <c r="G6" s="15" t="str">
        <f>IF($A6="","",IF(F6&lt;0,"Överfullt",IF(F6=0,"Fullt","")))</f>
        <v/>
      </c>
      <c r="H6" s="17">
        <f>IF($A6="","",COUNTIFS('Gäster'!$L$2:$L$301,A6,'Gäster'!$C$2:$C$301,"Dam"))</f>
        <v>0</v>
      </c>
      <c r="I6" s="17">
        <f>IF($A6="","",COUNTIFS('Gäster'!$L$2:$L$301,A6,'Gäster'!$C$2:$C$301,"Herre"))</f>
        <v>0</v>
      </c>
    </row>
    <row r="7" spans="1:9" x14ac:dyDescent="0.25">
      <c r="A7" s="17">
        <v>6</v>
      </c>
      <c r="B7" s="15" t="s">
        <v>82</v>
      </c>
      <c r="C7" s="15" t="s">
        <v>77</v>
      </c>
      <c r="D7" s="17">
        <v>8</v>
      </c>
      <c r="E7" s="17">
        <f>IF($A7="","",COUNTIF('Gäster'!$L$2:$L$301,A7))</f>
        <v>0</v>
      </c>
      <c r="F7" s="17">
        <f>IF($A7="","",D7-E7)</f>
        <v>8</v>
      </c>
      <c r="G7" s="15" t="str">
        <f>IF($A7="","",IF(F7&lt;0,"Överfullt",IF(F7=0,"Fullt","")))</f>
        <v/>
      </c>
      <c r="H7" s="17">
        <f>IF($A7="","",COUNTIFS('Gäster'!$L$2:$L$301,A7,'Gäster'!$C$2:$C$301,"Dam"))</f>
        <v>0</v>
      </c>
      <c r="I7" s="17">
        <f>IF($A7="","",COUNTIFS('Gäster'!$L$2:$L$301,A7,'Gäster'!$C$2:$C$301,"Herre"))</f>
        <v>0</v>
      </c>
    </row>
    <row r="8" spans="1:9" x14ac:dyDescent="0.25">
      <c r="A8" s="17">
        <v>7</v>
      </c>
      <c r="B8" s="15" t="s">
        <v>83</v>
      </c>
      <c r="C8" s="15" t="s">
        <v>77</v>
      </c>
      <c r="D8" s="17">
        <v>8</v>
      </c>
      <c r="E8" s="17">
        <f>IF($A8="","",COUNTIF('Gäster'!$L$2:$L$301,A8))</f>
        <v>0</v>
      </c>
      <c r="F8" s="17">
        <f>IF($A8="","",D8-E8)</f>
        <v>8</v>
      </c>
      <c r="G8" s="15" t="str">
        <f>IF($A8="","",IF(F8&lt;0,"Överfullt",IF(F8=0,"Fullt","")))</f>
        <v/>
      </c>
      <c r="H8" s="17">
        <f>IF($A8="","",COUNTIFS('Gäster'!$L$2:$L$301,A8,'Gäster'!$C$2:$C$301,"Dam"))</f>
        <v>0</v>
      </c>
      <c r="I8" s="17">
        <f>IF($A8="","",COUNTIFS('Gäster'!$L$2:$L$301,A8,'Gäster'!$C$2:$C$301,"Herre"))</f>
        <v>0</v>
      </c>
    </row>
    <row r="9" spans="1:9" x14ac:dyDescent="0.25">
      <c r="A9" s="17">
        <v>8</v>
      </c>
      <c r="B9" s="15" t="s">
        <v>84</v>
      </c>
      <c r="C9" s="15" t="s">
        <v>77</v>
      </c>
      <c r="D9" s="17">
        <v>8</v>
      </c>
      <c r="E9" s="17">
        <f>IF($A9="","",COUNTIF('Gäster'!$L$2:$L$301,A9))</f>
        <v>0</v>
      </c>
      <c r="F9" s="17">
        <f>IF($A9="","",D9-E9)</f>
        <v>8</v>
      </c>
      <c r="G9" s="15" t="str">
        <f>IF($A9="","",IF(F9&lt;0,"Överfullt",IF(F9=0,"Fullt","")))</f>
        <v/>
      </c>
      <c r="H9" s="17">
        <f>IF($A9="","",COUNTIFS('Gäster'!$L$2:$L$301,A9,'Gäster'!$C$2:$C$301,"Dam"))</f>
        <v>0</v>
      </c>
      <c r="I9" s="17">
        <f>IF($A9="","",COUNTIFS('Gäster'!$L$2:$L$301,A9,'Gäster'!$C$2:$C$301,"Herre"))</f>
        <v>0</v>
      </c>
    </row>
    <row r="10" spans="1:9" x14ac:dyDescent="0.25">
      <c r="A10" s="17">
        <v>9</v>
      </c>
      <c r="B10" s="15" t="s">
        <v>85</v>
      </c>
      <c r="C10" s="15" t="s">
        <v>77</v>
      </c>
      <c r="D10" s="17">
        <v>8</v>
      </c>
      <c r="E10" s="17">
        <f>IF($A10="","",COUNTIF('Gäster'!$L$2:$L$301,A10))</f>
        <v>0</v>
      </c>
      <c r="F10" s="17">
        <f>IF($A10="","",D10-E10)</f>
        <v>8</v>
      </c>
      <c r="G10" s="15" t="str">
        <f>IF($A10="","",IF(F10&lt;0,"Överfullt",IF(F10=0,"Fullt","")))</f>
        <v/>
      </c>
      <c r="H10" s="17">
        <f>IF($A10="","",COUNTIFS('Gäster'!$L$2:$L$301,A10,'Gäster'!$C$2:$C$301,"Dam"))</f>
        <v>0</v>
      </c>
      <c r="I10" s="17">
        <f>IF($A10="","",COUNTIFS('Gäster'!$L$2:$L$301,A10,'Gäster'!$C$2:$C$301,"Herre"))</f>
        <v>0</v>
      </c>
    </row>
    <row r="11" spans="1:9" x14ac:dyDescent="0.25">
      <c r="A11" s="17">
        <v>10</v>
      </c>
      <c r="B11" s="15" t="s">
        <v>86</v>
      </c>
      <c r="C11" s="15" t="s">
        <v>77</v>
      </c>
      <c r="D11" s="17">
        <v>8</v>
      </c>
      <c r="E11" s="17">
        <f>IF($A11="","",COUNTIF('Gäster'!$L$2:$L$301,A11))</f>
        <v>0</v>
      </c>
      <c r="F11" s="17">
        <f>IF($A11="","",D11-E11)</f>
        <v>8</v>
      </c>
      <c r="G11" s="15" t="str">
        <f>IF($A11="","",IF(F11&lt;0,"Överfullt",IF(F11=0,"Fullt","")))</f>
        <v/>
      </c>
      <c r="H11" s="17">
        <f>IF($A11="","",COUNTIFS('Gäster'!$L$2:$L$301,A11,'Gäster'!$C$2:$C$301,"Dam"))</f>
        <v>0</v>
      </c>
      <c r="I11" s="17">
        <f>IF($A11="","",COUNTIFS('Gäster'!$L$2:$L$301,A11,'Gäster'!$C$2:$C$301,"Herre"))</f>
        <v>0</v>
      </c>
    </row>
    <row r="12" spans="1:9" x14ac:dyDescent="0.25">
      <c r="A12" s="17"/>
      <c r="B12" s="15"/>
      <c r="C12" s="15"/>
      <c r="D12" s="17"/>
      <c r="E12" s="17" t="str">
        <f>IF($A12="","",COUNTIF('Gäster'!$L$2:$L$301,A12))</f>
        <v/>
      </c>
      <c r="F12" s="17" t="str">
        <f>IF($A12="","",D12-E12)</f>
        <v/>
      </c>
      <c r="G12" s="15" t="str">
        <f>IF($A12="","",IF(F12&lt;0,"Överfullt",IF(F12=0,"Fullt","")))</f>
        <v/>
      </c>
      <c r="H12" s="17" t="str">
        <f>IF($A12="","",COUNTIFS('Gäster'!$L$2:$L$301,A12,'Gäster'!$C$2:$C$301,"Dam"))</f>
        <v/>
      </c>
      <c r="I12" s="17" t="str">
        <f>IF($A12="","",COUNTIFS('Gäster'!$L$2:$L$301,A12,'Gäster'!$C$2:$C$301,"Herre"))</f>
        <v/>
      </c>
    </row>
    <row r="13" spans="1:9" x14ac:dyDescent="0.25">
      <c r="A13" s="17"/>
      <c r="B13" s="15"/>
      <c r="C13" s="15"/>
      <c r="D13" s="17"/>
      <c r="E13" s="17" t="str">
        <f>IF($A13="","",COUNTIF('Gäster'!$L$2:$L$301,A13))</f>
        <v/>
      </c>
      <c r="F13" s="17" t="str">
        <f>IF($A13="","",D13-E13)</f>
        <v/>
      </c>
      <c r="G13" s="15" t="str">
        <f>IF($A13="","",IF(F13&lt;0,"Överfullt",IF(F13=0,"Fullt","")))</f>
        <v/>
      </c>
      <c r="H13" s="17" t="str">
        <f>IF($A13="","",COUNTIFS('Gäster'!$L$2:$L$301,A13,'Gäster'!$C$2:$C$301,"Dam"))</f>
        <v/>
      </c>
      <c r="I13" s="17" t="str">
        <f>IF($A13="","",COUNTIFS('Gäster'!$L$2:$L$301,A13,'Gäster'!$C$2:$C$301,"Herre"))</f>
        <v/>
      </c>
    </row>
    <row r="14" spans="1:9" x14ac:dyDescent="0.25">
      <c r="A14" s="17"/>
      <c r="B14" s="15"/>
      <c r="C14" s="15"/>
      <c r="D14" s="17"/>
      <c r="E14" s="17" t="str">
        <f>IF($A14="","",COUNTIF('Gäster'!$L$2:$L$301,A14))</f>
        <v/>
      </c>
      <c r="F14" s="17" t="str">
        <f>IF($A14="","",D14-E14)</f>
        <v/>
      </c>
      <c r="G14" s="15" t="str">
        <f>IF($A14="","",IF(F14&lt;0,"Överfullt",IF(F14=0,"Fullt","")))</f>
        <v/>
      </c>
      <c r="H14" s="17" t="str">
        <f>IF($A14="","",COUNTIFS('Gäster'!$L$2:$L$301,A14,'Gäster'!$C$2:$C$301,"Dam"))</f>
        <v/>
      </c>
      <c r="I14" s="17" t="str">
        <f>IF($A14="","",COUNTIFS('Gäster'!$L$2:$L$301,A14,'Gäster'!$C$2:$C$301,"Herre"))</f>
        <v/>
      </c>
    </row>
    <row r="15" spans="1:9" x14ac:dyDescent="0.25">
      <c r="A15" s="17"/>
      <c r="B15" s="15"/>
      <c r="C15" s="15"/>
      <c r="D15" s="17"/>
      <c r="E15" s="17" t="str">
        <f>IF($A15="","",COUNTIF('Gäster'!$L$2:$L$301,A15))</f>
        <v/>
      </c>
      <c r="F15" s="17" t="str">
        <f>IF($A15="","",D15-E15)</f>
        <v/>
      </c>
      <c r="G15" s="15" t="str">
        <f>IF($A15="","",IF(F15&lt;0,"Överfullt",IF(F15=0,"Fullt","")))</f>
        <v/>
      </c>
      <c r="H15" s="17" t="str">
        <f>IF($A15="","",COUNTIFS('Gäster'!$L$2:$L$301,A15,'Gäster'!$C$2:$C$301,"Dam"))</f>
        <v/>
      </c>
      <c r="I15" s="17" t="str">
        <f>IF($A15="","",COUNTIFS('Gäster'!$L$2:$L$301,A15,'Gäster'!$C$2:$C$301,"Herre"))</f>
        <v/>
      </c>
    </row>
    <row r="16" spans="1:9" x14ac:dyDescent="0.25">
      <c r="A16" s="17"/>
      <c r="B16" s="15"/>
      <c r="C16" s="15"/>
      <c r="D16" s="17"/>
      <c r="E16" s="17" t="str">
        <f>IF($A16="","",COUNTIF('Gäster'!$L$2:$L$301,A16))</f>
        <v/>
      </c>
      <c r="F16" s="17" t="str">
        <f>IF($A16="","",D16-E16)</f>
        <v/>
      </c>
      <c r="G16" s="15" t="str">
        <f>IF($A16="","",IF(F16&lt;0,"Överfullt",IF(F16=0,"Fullt","")))</f>
        <v/>
      </c>
      <c r="H16" s="17" t="str">
        <f>IF($A16="","",COUNTIFS('Gäster'!$L$2:$L$301,A16,'Gäster'!$C$2:$C$301,"Dam"))</f>
        <v/>
      </c>
      <c r="I16" s="17" t="str">
        <f>IF($A16="","",COUNTIFS('Gäster'!$L$2:$L$301,A16,'Gäster'!$C$2:$C$301,"Herre"))</f>
        <v/>
      </c>
    </row>
    <row r="17" spans="1:9" x14ac:dyDescent="0.25">
      <c r="A17" s="17"/>
      <c r="B17" s="15"/>
      <c r="C17" s="15"/>
      <c r="D17" s="17"/>
      <c r="E17" s="17" t="str">
        <f>IF($A17="","",COUNTIF('Gäster'!$L$2:$L$301,A17))</f>
        <v/>
      </c>
      <c r="F17" s="17" t="str">
        <f>IF($A17="","",D17-E17)</f>
        <v/>
      </c>
      <c r="G17" s="15" t="str">
        <f>IF($A17="","",IF(F17&lt;0,"Överfullt",IF(F17=0,"Fullt","")))</f>
        <v/>
      </c>
      <c r="H17" s="17" t="str">
        <f>IF($A17="","",COUNTIFS('Gäster'!$L$2:$L$301,A17,'Gäster'!$C$2:$C$301,"Dam"))</f>
        <v/>
      </c>
      <c r="I17" s="17" t="str">
        <f>IF($A17="","",COUNTIFS('Gäster'!$L$2:$L$301,A17,'Gäster'!$C$2:$C$301,"Herre"))</f>
        <v/>
      </c>
    </row>
    <row r="18" spans="1:9" x14ac:dyDescent="0.25">
      <c r="A18" s="17"/>
      <c r="B18" s="15"/>
      <c r="C18" s="15"/>
      <c r="D18" s="17"/>
      <c r="E18" s="17" t="str">
        <f>IF($A18="","",COUNTIF('Gäster'!$L$2:$L$301,A18))</f>
        <v/>
      </c>
      <c r="F18" s="17" t="str">
        <f>IF($A18="","",D18-E18)</f>
        <v/>
      </c>
      <c r="G18" s="15" t="str">
        <f>IF($A18="","",IF(F18&lt;0,"Överfullt",IF(F18=0,"Fullt","")))</f>
        <v/>
      </c>
      <c r="H18" s="17" t="str">
        <f>IF($A18="","",COUNTIFS('Gäster'!$L$2:$L$301,A18,'Gäster'!$C$2:$C$301,"Dam"))</f>
        <v/>
      </c>
      <c r="I18" s="17" t="str">
        <f>IF($A18="","",COUNTIFS('Gäster'!$L$2:$L$301,A18,'Gäster'!$C$2:$C$301,"Herre"))</f>
        <v/>
      </c>
    </row>
    <row r="19" spans="1:9" x14ac:dyDescent="0.25">
      <c r="A19" s="17"/>
      <c r="B19" s="15"/>
      <c r="C19" s="15"/>
      <c r="D19" s="17"/>
      <c r="E19" s="17" t="str">
        <f>IF($A19="","",COUNTIF('Gäster'!$L$2:$L$301,A19))</f>
        <v/>
      </c>
      <c r="F19" s="17" t="str">
        <f>IF($A19="","",D19-E19)</f>
        <v/>
      </c>
      <c r="G19" s="15" t="str">
        <f>IF($A19="","",IF(F19&lt;0,"Överfullt",IF(F19=0,"Fullt","")))</f>
        <v/>
      </c>
      <c r="H19" s="17" t="str">
        <f>IF($A19="","",COUNTIFS('Gäster'!$L$2:$L$301,A19,'Gäster'!$C$2:$C$301,"Dam"))</f>
        <v/>
      </c>
      <c r="I19" s="17" t="str">
        <f>IF($A19="","",COUNTIFS('Gäster'!$L$2:$L$301,A19,'Gäster'!$C$2:$C$301,"Herre"))</f>
        <v/>
      </c>
    </row>
    <row r="20" spans="1:9" x14ac:dyDescent="0.25">
      <c r="A20" s="17"/>
      <c r="B20" s="15"/>
      <c r="C20" s="15"/>
      <c r="D20" s="17"/>
      <c r="E20" s="17" t="str">
        <f>IF($A20="","",COUNTIF('Gäster'!$L$2:$L$301,A20))</f>
        <v/>
      </c>
      <c r="F20" s="17" t="str">
        <f>IF($A20="","",D20-E20)</f>
        <v/>
      </c>
      <c r="G20" s="15" t="str">
        <f>IF($A20="","",IF(F20&lt;0,"Överfullt",IF(F20=0,"Fullt","")))</f>
        <v/>
      </c>
      <c r="H20" s="17" t="str">
        <f>IF($A20="","",COUNTIFS('Gäster'!$L$2:$L$301,A20,'Gäster'!$C$2:$C$301,"Dam"))</f>
        <v/>
      </c>
      <c r="I20" s="17" t="str">
        <f>IF($A20="","",COUNTIFS('Gäster'!$L$2:$L$301,A20,'Gäster'!$C$2:$C$301,"Herre"))</f>
        <v/>
      </c>
    </row>
    <row r="21" spans="1:9" x14ac:dyDescent="0.25">
      <c r="A21" s="17"/>
      <c r="B21" s="15"/>
      <c r="C21" s="15"/>
      <c r="D21" s="17"/>
      <c r="E21" s="17" t="str">
        <f>IF($A21="","",COUNTIF('Gäster'!$L$2:$L$301,A21))</f>
        <v/>
      </c>
      <c r="F21" s="17" t="str">
        <f>IF($A21="","",D21-E21)</f>
        <v/>
      </c>
      <c r="G21" s="15" t="str">
        <f>IF($A21="","",IF(F21&lt;0,"Överfullt",IF(F21=0,"Fullt","")))</f>
        <v/>
      </c>
      <c r="H21" s="17" t="str">
        <f>IF($A21="","",COUNTIFS('Gäster'!$L$2:$L$301,A21,'Gäster'!$C$2:$C$301,"Dam"))</f>
        <v/>
      </c>
      <c r="I21" s="17" t="str">
        <f>IF($A21="","",COUNTIFS('Gäster'!$L$2:$L$301,A21,'Gäster'!$C$2:$C$301,"Herre"))</f>
        <v/>
      </c>
    </row>
    <row r="22" spans="1:9" x14ac:dyDescent="0.25">
      <c r="A22" s="17"/>
      <c r="B22" s="15"/>
      <c r="C22" s="15"/>
      <c r="D22" s="17"/>
      <c r="E22" s="17" t="str">
        <f>IF($A22="","",COUNTIF('Gäster'!$L$2:$L$301,A22))</f>
        <v/>
      </c>
      <c r="F22" s="17" t="str">
        <f>IF($A22="","",D22-E22)</f>
        <v/>
      </c>
      <c r="G22" s="15" t="str">
        <f>IF($A22="","",IF(F22&lt;0,"Överfullt",IF(F22=0,"Fullt","")))</f>
        <v/>
      </c>
      <c r="H22" s="17" t="str">
        <f>IF($A22="","",COUNTIFS('Gäster'!$L$2:$L$301,A22,'Gäster'!$C$2:$C$301,"Dam"))</f>
        <v/>
      </c>
      <c r="I22" s="17" t="str">
        <f>IF($A22="","",COUNTIFS('Gäster'!$L$2:$L$301,A22,'Gäster'!$C$2:$C$301,"Herre"))</f>
        <v/>
      </c>
    </row>
    <row r="23" spans="1:9" x14ac:dyDescent="0.25">
      <c r="A23" s="17"/>
      <c r="B23" s="15"/>
      <c r="C23" s="15"/>
      <c r="D23" s="17"/>
      <c r="E23" s="17" t="str">
        <f>IF($A23="","",COUNTIF('Gäster'!$L$2:$L$301,A23))</f>
        <v/>
      </c>
      <c r="F23" s="17" t="str">
        <f>IF($A23="","",D23-E23)</f>
        <v/>
      </c>
      <c r="G23" s="15" t="str">
        <f>IF($A23="","",IF(F23&lt;0,"Överfullt",IF(F23=0,"Fullt","")))</f>
        <v/>
      </c>
      <c r="H23" s="17" t="str">
        <f>IF($A23="","",COUNTIFS('Gäster'!$L$2:$L$301,A23,'Gäster'!$C$2:$C$301,"Dam"))</f>
        <v/>
      </c>
      <c r="I23" s="17" t="str">
        <f>IF($A23="","",COUNTIFS('Gäster'!$L$2:$L$301,A23,'Gäster'!$C$2:$C$301,"Herre"))</f>
        <v/>
      </c>
    </row>
    <row r="24" spans="1:9" x14ac:dyDescent="0.25">
      <c r="A24" s="17"/>
      <c r="B24" s="15"/>
      <c r="C24" s="15"/>
      <c r="D24" s="17"/>
      <c r="E24" s="17" t="str">
        <f>IF($A24="","",COUNTIF('Gäster'!$L$2:$L$301,A24))</f>
        <v/>
      </c>
      <c r="F24" s="17" t="str">
        <f>IF($A24="","",D24-E24)</f>
        <v/>
      </c>
      <c r="G24" s="15" t="str">
        <f>IF($A24="","",IF(F24&lt;0,"Överfullt",IF(F24=0,"Fullt","")))</f>
        <v/>
      </c>
      <c r="H24" s="17" t="str">
        <f>IF($A24="","",COUNTIFS('Gäster'!$L$2:$L$301,A24,'Gäster'!$C$2:$C$301,"Dam"))</f>
        <v/>
      </c>
      <c r="I24" s="17" t="str">
        <f>IF($A24="","",COUNTIFS('Gäster'!$L$2:$L$301,A24,'Gäster'!$C$2:$C$301,"Herre"))</f>
        <v/>
      </c>
    </row>
    <row r="25" spans="1:9" x14ac:dyDescent="0.25">
      <c r="A25" s="17"/>
      <c r="B25" s="15"/>
      <c r="C25" s="15"/>
      <c r="D25" s="17"/>
      <c r="E25" s="17" t="str">
        <f>IF($A25="","",COUNTIF('Gäster'!$L$2:$L$301,A25))</f>
        <v/>
      </c>
      <c r="F25" s="17" t="str">
        <f>IF($A25="","",D25-E25)</f>
        <v/>
      </c>
      <c r="G25" s="15" t="str">
        <f>IF($A25="","",IF(F25&lt;0,"Överfullt",IF(F25=0,"Fullt","")))</f>
        <v/>
      </c>
      <c r="H25" s="17" t="str">
        <f>IF($A25="","",COUNTIFS('Gäster'!$L$2:$L$301,A25,'Gäster'!$C$2:$C$301,"Dam"))</f>
        <v/>
      </c>
      <c r="I25" s="17" t="str">
        <f>IF($A25="","",COUNTIFS('Gäster'!$L$2:$L$301,A25,'Gäster'!$C$2:$C$301,"Herre"))</f>
        <v/>
      </c>
    </row>
    <row r="26" spans="1:9" x14ac:dyDescent="0.25">
      <c r="A26" s="17"/>
      <c r="B26" s="15"/>
      <c r="C26" s="15"/>
      <c r="D26" s="17"/>
      <c r="E26" s="17" t="str">
        <f>IF($A26="","",COUNTIF('Gäster'!$L$2:$L$301,A26))</f>
        <v/>
      </c>
      <c r="F26" s="17" t="str">
        <f>IF($A26="","",D26-E26)</f>
        <v/>
      </c>
      <c r="G26" s="15" t="str">
        <f>IF($A26="","",IF(F26&lt;0,"Överfullt",IF(F26=0,"Fullt","")))</f>
        <v/>
      </c>
      <c r="H26" s="17" t="str">
        <f>IF($A26="","",COUNTIFS('Gäster'!$L$2:$L$301,A26,'Gäster'!$C$2:$C$301,"Dam"))</f>
        <v/>
      </c>
      <c r="I26" s="17" t="str">
        <f>IF($A26="","",COUNTIFS('Gäster'!$L$2:$L$301,A26,'Gäster'!$C$2:$C$301,"Herre"))</f>
        <v/>
      </c>
    </row>
    <row r="27" spans="1:9" x14ac:dyDescent="0.25">
      <c r="A27" s="17"/>
      <c r="B27" s="15"/>
      <c r="C27" s="15"/>
      <c r="D27" s="17"/>
      <c r="E27" s="17" t="str">
        <f>IF($A27="","",COUNTIF('Gäster'!$L$2:$L$301,A27))</f>
        <v/>
      </c>
      <c r="F27" s="17" t="str">
        <f>IF($A27="","",D27-E27)</f>
        <v/>
      </c>
      <c r="G27" s="15" t="str">
        <f>IF($A27="","",IF(F27&lt;0,"Överfullt",IF(F27=0,"Fullt","")))</f>
        <v/>
      </c>
      <c r="H27" s="17" t="str">
        <f>IF($A27="","",COUNTIFS('Gäster'!$L$2:$L$301,A27,'Gäster'!$C$2:$C$301,"Dam"))</f>
        <v/>
      </c>
      <c r="I27" s="17" t="str">
        <f>IF($A27="","",COUNTIFS('Gäster'!$L$2:$L$301,A27,'Gäster'!$C$2:$C$301,"Herre"))</f>
        <v/>
      </c>
    </row>
    <row r="28" spans="1:9" x14ac:dyDescent="0.25">
      <c r="A28" s="17"/>
      <c r="B28" s="15"/>
      <c r="C28" s="15"/>
      <c r="D28" s="17"/>
      <c r="E28" s="17" t="str">
        <f>IF($A28="","",COUNTIF('Gäster'!$L$2:$L$301,A28))</f>
        <v/>
      </c>
      <c r="F28" s="17" t="str">
        <f>IF($A28="","",D28-E28)</f>
        <v/>
      </c>
      <c r="G28" s="15" t="str">
        <f>IF($A28="","",IF(F28&lt;0,"Överfullt",IF(F28=0,"Fullt","")))</f>
        <v/>
      </c>
      <c r="H28" s="17" t="str">
        <f>IF($A28="","",COUNTIFS('Gäster'!$L$2:$L$301,A28,'Gäster'!$C$2:$C$301,"Dam"))</f>
        <v/>
      </c>
      <c r="I28" s="17" t="str">
        <f>IF($A28="","",COUNTIFS('Gäster'!$L$2:$L$301,A28,'Gäster'!$C$2:$C$301,"Herre"))</f>
        <v/>
      </c>
    </row>
    <row r="29" spans="1:9" x14ac:dyDescent="0.25">
      <c r="A29" s="17"/>
      <c r="B29" s="15"/>
      <c r="C29" s="15"/>
      <c r="D29" s="17"/>
      <c r="E29" s="17" t="str">
        <f>IF($A29="","",COUNTIF('Gäster'!$L$2:$L$301,A29))</f>
        <v/>
      </c>
      <c r="F29" s="17" t="str">
        <f>IF($A29="","",D29-E29)</f>
        <v/>
      </c>
      <c r="G29" s="15" t="str">
        <f>IF($A29="","",IF(F29&lt;0,"Överfullt",IF(F29=0,"Fullt","")))</f>
        <v/>
      </c>
      <c r="H29" s="17" t="str">
        <f>IF($A29="","",COUNTIFS('Gäster'!$L$2:$L$301,A29,'Gäster'!$C$2:$C$301,"Dam"))</f>
        <v/>
      </c>
      <c r="I29" s="17" t="str">
        <f>IF($A29="","",COUNTIFS('Gäster'!$L$2:$L$301,A29,'Gäster'!$C$2:$C$301,"Herre"))</f>
        <v/>
      </c>
    </row>
    <row r="30" spans="1:9" x14ac:dyDescent="0.25">
      <c r="A30" s="17"/>
      <c r="B30" s="15"/>
      <c r="C30" s="15"/>
      <c r="D30" s="17"/>
      <c r="E30" s="17" t="str">
        <f>IF($A30="","",COUNTIF('Gäster'!$L$2:$L$301,A30))</f>
        <v/>
      </c>
      <c r="F30" s="17" t="str">
        <f>IF($A30="","",D30-E30)</f>
        <v/>
      </c>
      <c r="G30" s="15" t="str">
        <f>IF($A30="","",IF(F30&lt;0,"Överfullt",IF(F30=0,"Fullt","")))</f>
        <v/>
      </c>
      <c r="H30" s="17" t="str">
        <f>IF($A30="","",COUNTIFS('Gäster'!$L$2:$L$301,A30,'Gäster'!$C$2:$C$301,"Dam"))</f>
        <v/>
      </c>
      <c r="I30" s="17" t="str">
        <f>IF($A30="","",COUNTIFS('Gäster'!$L$2:$L$301,A30,'Gäster'!$C$2:$C$301,"Herre"))</f>
        <v/>
      </c>
    </row>
    <row r="31" spans="1:9" x14ac:dyDescent="0.25">
      <c r="A31" s="17"/>
      <c r="B31" s="15"/>
      <c r="C31" s="15"/>
      <c r="D31" s="17"/>
      <c r="E31" s="17" t="str">
        <f>IF($A31="","",COUNTIF('Gäster'!$L$2:$L$301,A31))</f>
        <v/>
      </c>
      <c r="F31" s="17" t="str">
        <f>IF($A31="","",D31-E31)</f>
        <v/>
      </c>
      <c r="G31" s="15" t="str">
        <f>IF($A31="","",IF(F31&lt;0,"Överfullt",IF(F31=0,"Fullt","")))</f>
        <v/>
      </c>
      <c r="H31" s="17" t="str">
        <f>IF($A31="","",COUNTIFS('Gäster'!$L$2:$L$301,A31,'Gäster'!$C$2:$C$301,"Dam"))</f>
        <v/>
      </c>
      <c r="I31" s="17" t="str">
        <f>IF($A31="","",COUNTIFS('Gäster'!$L$2:$L$301,A31,'Gäster'!$C$2:$C$301,"Herre"))</f>
        <v/>
      </c>
    </row>
    <row r="33" spans="2:4" x14ac:dyDescent="0.25">
      <c r="B33" s="18" t="s">
        <v>87</v>
      </c>
      <c r="C33" s="19"/>
      <c r="D33" s="20">
        <f>D2+D3+D4+D5+D6+D7+D8+D9+D10+D11+D12+D13+D14+D15+D16+D17+D18+D19+D20+D21+D22+D23+D24+D25+D26+D27+D28+D29+D30+D31</f>
        <v>80</v>
      </c>
    </row>
    <row r="34" spans="2:4" x14ac:dyDescent="0.25">
      <c r="B34" s="18" t="s">
        <v>88</v>
      </c>
      <c r="C34" s="19"/>
      <c r="D34" s="20">
        <f>COUNTIF('Gäster'!$L$2:$L$301,"&gt;0")</f>
        <v>6</v>
      </c>
    </row>
    <row r="35" spans="2:4" x14ac:dyDescent="0.25">
      <c r="B35" s="18" t="s">
        <v>89</v>
      </c>
      <c r="C35" s="19"/>
      <c r="D35" s="20">
        <f>COUNTIFS('Gäster'!$L$2:$L$301,"",'Gäster'!$A$2:$A$301,"&lt;&gt;")+COUNTIFS('Gäster'!$L$2:$L$301,"",'Gäster'!$A$2:$A$301,"",'Gäster'!$B$2:$B$301,"&lt;&gt;")</f>
        <v>0</v>
      </c>
    </row>
  </sheetData>
  <conditionalFormatting sqref="F2:G31">
    <cfRule type="expression" dxfId="1" priority="1">
      <formula>$F2&lt;0</formula>
    </cfRule>
  </conditionalFormatting>
  <dataValidations count="3">
    <dataValidation type="whole" operator="greaterThanOrEqual" allowBlank="1" showErrorMessage="1" errorStyle="stop" errorTitle="Bord nr" error="Skriv ett heltal, 1 eller mer." sqref="A2:A31">
      <formula1>1</formula1>
    </dataValidation>
    <dataValidation type="list" allowBlank="1" showErrorMessage="1" errorStyle="stop" errorTitle="Form" error="Välj ett värde i listan: Runt, Långbord." sqref="C2:C31">
      <formula1>"Runt,Långbord"</formula1>
    </dataValidation>
    <dataValidation type="whole" allowBlank="1" showErrorMessage="1" errorStyle="warning" errorTitle="Platser" error="Bordskartan visar bara plats 1–12. Större bord går bra och räknas ändå här i fliken Bord." sqref="D2:D31">
      <formula1>1</formula1>
      <formula2>12</formula2>
    </dataValidation>
  </dataValidations>
  <pageMargins left="0.5" right="0.5" top="0.6" bottom="0.6" header="0.3" footer="0.3"/>
  <pageSetup paperSize="9" orientation="portrait"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2"/>
  <sheetViews>
    <sheetView workbookViewId="0" showGridLines="0"/>
  </sheetViews>
  <sheetFormatPr defaultRowHeight="15" outlineLevelRow="0" outlineLevelCol="0" x14ac:dyDescent="55"/>
  <cols>
    <col min="1" max="1" width="10" customWidth="1"/>
    <col min="2" max="2" width="44" customWidth="1"/>
  </cols>
  <sheetData>
    <row r="1" ht="30" customHeight="1" spans="1:1" x14ac:dyDescent="0.25">
      <c r="A1" s="21" t="s">
        <v>90</v>
      </c>
    </row>
    <row r="2" spans="1:1" x14ac:dyDescent="0.25">
      <c r="A2" s="22" t="s">
        <v>91</v>
      </c>
    </row>
    <row r="4" ht="26" customHeight="1" spans="1:2" x14ac:dyDescent="0.25">
      <c r="A4" s="23" t="s">
        <v>76</v>
      </c>
      <c r="B4" s="24" t="str">
        <f>IFERROR(IF(INDEX('Bord'!$B$2:$B$31,MATCH(1,'Bord'!$A$2:$A$31,0))&amp;""="Bord 1","",INDEX('Bord'!$B$2:$B$31,MATCH(1,'Bord'!$A$2:$A$31,0))&amp;""),"")</f>
        <v/>
      </c>
    </row>
    <row r="5" spans="1:2" x14ac:dyDescent="0.25">
      <c r="A5" s="11" t="s">
        <v>38</v>
      </c>
      <c r="B5" s="11" t="s">
        <v>92</v>
      </c>
    </row>
    <row r="6" ht="22" customHeight="1" spans="1:2" x14ac:dyDescent="0.25">
      <c r="A6" s="25">
        <v>1</v>
      </c>
      <c r="B6" s="26" t="str">
        <f>IFERROR(INDEX('Gäster'!$A$2:$A$301,MATCH("1-1",'Gäster'!$O$2:$O$301,0))&amp;" "&amp;INDEX('Gäster'!$B$2:$B$301,MATCH("1-1",'Gäster'!$O$2:$O$301,0)),"")</f>
        <v>Inger Berg</v>
      </c>
    </row>
    <row r="7" ht="22" customHeight="1" spans="1:2" x14ac:dyDescent="0.25">
      <c r="A7" s="25">
        <v>2</v>
      </c>
      <c r="B7" s="26" t="str">
        <f>IFERROR(INDEX('Gäster'!$A$2:$A$301,MATCH("1-2",'Gäster'!$O$2:$O$301,0))&amp;" "&amp;INDEX('Gäster'!$B$2:$B$301,MATCH("1-2",'Gäster'!$O$2:$O$301,0)),"")</f>
        <v>Olle Lund</v>
      </c>
    </row>
    <row r="8" ht="22" customHeight="1" spans="1:2" x14ac:dyDescent="0.25">
      <c r="A8" s="25">
        <v>3</v>
      </c>
      <c r="B8" s="26" t="str">
        <f>IFERROR(INDEX('Gäster'!$A$2:$A$301,MATCH("1-3",'Gäster'!$O$2:$O$301,0))&amp;" "&amp;INDEX('Gäster'!$B$2:$B$301,MATCH("1-3",'Gäster'!$O$2:$O$301,0)),"")</f>
        <v>Sara Lund</v>
      </c>
    </row>
    <row r="9" ht="22" customHeight="1" spans="1:2" x14ac:dyDescent="0.25">
      <c r="A9" s="25">
        <v>4</v>
      </c>
      <c r="B9" s="26" t="str">
        <f>IFERROR(INDEX('Gäster'!$A$2:$A$301,MATCH("1-4",'Gäster'!$O$2:$O$301,0))&amp;" "&amp;INDEX('Gäster'!$B$2:$B$301,MATCH("1-4",'Gäster'!$O$2:$O$301,0)),"")</f>
        <v/>
      </c>
    </row>
    <row r="10" ht="22" customHeight="1" spans="1:2" x14ac:dyDescent="0.25">
      <c r="A10" s="25">
        <v>5</v>
      </c>
      <c r="B10" s="26" t="str">
        <f>IFERROR(INDEX('Gäster'!$A$2:$A$301,MATCH("1-5",'Gäster'!$O$2:$O$301,0))&amp;" "&amp;INDEX('Gäster'!$B$2:$B$301,MATCH("1-5",'Gäster'!$O$2:$O$301,0)),"")</f>
        <v/>
      </c>
    </row>
    <row r="11" ht="22" customHeight="1" spans="1:2" x14ac:dyDescent="0.25">
      <c r="A11" s="25">
        <v>6</v>
      </c>
      <c r="B11" s="26" t="str">
        <f>IFERROR(INDEX('Gäster'!$A$2:$A$301,MATCH("1-6",'Gäster'!$O$2:$O$301,0))&amp;" "&amp;INDEX('Gäster'!$B$2:$B$301,MATCH("1-6",'Gäster'!$O$2:$O$301,0)),"")</f>
        <v/>
      </c>
    </row>
    <row r="12" ht="22" customHeight="1" spans="1:2" x14ac:dyDescent="0.25">
      <c r="A12" s="25">
        <v>7</v>
      </c>
      <c r="B12" s="26" t="str">
        <f>IFERROR(INDEX('Gäster'!$A$2:$A$301,MATCH("1-7",'Gäster'!$O$2:$O$301,0))&amp;" "&amp;INDEX('Gäster'!$B$2:$B$301,MATCH("1-7",'Gäster'!$O$2:$O$301,0)),"")</f>
        <v/>
      </c>
    </row>
    <row r="13" ht="22" customHeight="1" spans="1:2" x14ac:dyDescent="0.25">
      <c r="A13" s="25">
        <v>8</v>
      </c>
      <c r="B13" s="26" t="str">
        <f>IFERROR(INDEX('Gäster'!$A$2:$A$301,MATCH("1-8",'Gäster'!$O$2:$O$301,0))&amp;" "&amp;INDEX('Gäster'!$B$2:$B$301,MATCH("1-8",'Gäster'!$O$2:$O$301,0)),"")</f>
        <v/>
      </c>
    </row>
    <row r="14" ht="22" customHeight="1" spans="1:2" x14ac:dyDescent="0.25">
      <c r="A14" s="25">
        <v>9</v>
      </c>
      <c r="B14" s="26" t="str">
        <f>IFERROR(INDEX('Gäster'!$A$2:$A$301,MATCH("1-9",'Gäster'!$O$2:$O$301,0))&amp;" "&amp;INDEX('Gäster'!$B$2:$B$301,MATCH("1-9",'Gäster'!$O$2:$O$301,0)),"")</f>
        <v/>
      </c>
    </row>
    <row r="15" ht="22" customHeight="1" spans="1:2" x14ac:dyDescent="0.25">
      <c r="A15" s="25">
        <v>10</v>
      </c>
      <c r="B15" s="26" t="str">
        <f>IFERROR(INDEX('Gäster'!$A$2:$A$301,MATCH("1-10",'Gäster'!$O$2:$O$301,0))&amp;" "&amp;INDEX('Gäster'!$B$2:$B$301,MATCH("1-10",'Gäster'!$O$2:$O$301,0)),"")</f>
        <v/>
      </c>
    </row>
    <row r="16" ht="22" customHeight="1" spans="1:2" x14ac:dyDescent="0.25">
      <c r="A16" s="25">
        <v>11</v>
      </c>
      <c r="B16" s="26" t="str">
        <f>IFERROR(INDEX('Gäster'!$A$2:$A$301,MATCH("1-11",'Gäster'!$O$2:$O$301,0))&amp;" "&amp;INDEX('Gäster'!$B$2:$B$301,MATCH("1-11",'Gäster'!$O$2:$O$301,0)),"")</f>
        <v/>
      </c>
    </row>
    <row r="17" ht="22" customHeight="1" spans="1:2" x14ac:dyDescent="0.25">
      <c r="A17" s="25">
        <v>12</v>
      </c>
      <c r="B17" s="26" t="str">
        <f>IFERROR(INDEX('Gäster'!$A$2:$A$301,MATCH("1-12",'Gäster'!$O$2:$O$301,0))&amp;" "&amp;INDEX('Gäster'!$B$2:$B$301,MATCH("1-12",'Gäster'!$O$2:$O$301,0)),"")</f>
        <v/>
      </c>
    </row>
    <row r="19" ht="26" customHeight="1" spans="1:2" x14ac:dyDescent="0.25">
      <c r="A19" s="23" t="s">
        <v>78</v>
      </c>
      <c r="B19" s="24" t="str">
        <f>IFERROR(IF(INDEX('Bord'!$B$2:$B$31,MATCH(2,'Bord'!$A$2:$A$31,0))&amp;""="Bord 2","",INDEX('Bord'!$B$2:$B$31,MATCH(2,'Bord'!$A$2:$A$31,0))&amp;""),"")</f>
        <v/>
      </c>
    </row>
    <row r="20" spans="1:2" x14ac:dyDescent="0.25">
      <c r="A20" s="11" t="s">
        <v>38</v>
      </c>
      <c r="B20" s="11" t="s">
        <v>92</v>
      </c>
    </row>
    <row r="21" ht="22" customHeight="1" spans="1:2" x14ac:dyDescent="0.25">
      <c r="A21" s="25">
        <v>1</v>
      </c>
      <c r="B21" s="26" t="str">
        <f>IFERROR(INDEX('Gäster'!$A$2:$A$301,MATCH("2-1",'Gäster'!$O$2:$O$301,0))&amp;" "&amp;INDEX('Gäster'!$B$2:$B$301,MATCH("2-1",'Gäster'!$O$2:$O$301,0)),"")</f>
        <v>Erik Berg</v>
      </c>
    </row>
    <row r="22" ht="22" customHeight="1" spans="1:2" x14ac:dyDescent="0.25">
      <c r="A22" s="25">
        <v>2</v>
      </c>
      <c r="B22" s="26" t="str">
        <f>IFERROR(INDEX('Gäster'!$A$2:$A$301,MATCH("2-2",'Gäster'!$O$2:$O$301,0))&amp;" "&amp;INDEX('Gäster'!$B$2:$B$301,MATCH("2-2",'Gäster'!$O$2:$O$301,0)),"")</f>
        <v>Lena Ek</v>
      </c>
    </row>
    <row r="23" ht="22" customHeight="1" spans="1:2" x14ac:dyDescent="0.25">
      <c r="A23" s="25">
        <v>3</v>
      </c>
      <c r="B23" s="26" t="str">
        <f>IFERROR(INDEX('Gäster'!$A$2:$A$301,MATCH("2-3",'Gäster'!$O$2:$O$301,0))&amp;" "&amp;INDEX('Gäster'!$B$2:$B$301,MATCH("2-3",'Gäster'!$O$2:$O$301,0)),"")</f>
        <v>Kalle Lund</v>
      </c>
    </row>
    <row r="24" ht="22" customHeight="1" spans="1:2" x14ac:dyDescent="0.25">
      <c r="A24" s="25">
        <v>4</v>
      </c>
      <c r="B24" s="26" t="str">
        <f>IFERROR(INDEX('Gäster'!$A$2:$A$301,MATCH("2-4",'Gäster'!$O$2:$O$301,0))&amp;" "&amp;INDEX('Gäster'!$B$2:$B$301,MATCH("2-4",'Gäster'!$O$2:$O$301,0)),"")</f>
        <v/>
      </c>
    </row>
    <row r="25" ht="22" customHeight="1" spans="1:2" x14ac:dyDescent="0.25">
      <c r="A25" s="25">
        <v>5</v>
      </c>
      <c r="B25" s="26" t="str">
        <f>IFERROR(INDEX('Gäster'!$A$2:$A$301,MATCH("2-5",'Gäster'!$O$2:$O$301,0))&amp;" "&amp;INDEX('Gäster'!$B$2:$B$301,MATCH("2-5",'Gäster'!$O$2:$O$301,0)),"")</f>
        <v/>
      </c>
    </row>
    <row r="26" ht="22" customHeight="1" spans="1:2" x14ac:dyDescent="0.25">
      <c r="A26" s="25">
        <v>6</v>
      </c>
      <c r="B26" s="26" t="str">
        <f>IFERROR(INDEX('Gäster'!$A$2:$A$301,MATCH("2-6",'Gäster'!$O$2:$O$301,0))&amp;" "&amp;INDEX('Gäster'!$B$2:$B$301,MATCH("2-6",'Gäster'!$O$2:$O$301,0)),"")</f>
        <v/>
      </c>
    </row>
    <row r="27" ht="22" customHeight="1" spans="1:2" x14ac:dyDescent="0.25">
      <c r="A27" s="25">
        <v>7</v>
      </c>
      <c r="B27" s="26" t="str">
        <f>IFERROR(INDEX('Gäster'!$A$2:$A$301,MATCH("2-7",'Gäster'!$O$2:$O$301,0))&amp;" "&amp;INDEX('Gäster'!$B$2:$B$301,MATCH("2-7",'Gäster'!$O$2:$O$301,0)),"")</f>
        <v/>
      </c>
    </row>
    <row r="28" ht="22" customHeight="1" spans="1:2" x14ac:dyDescent="0.25">
      <c r="A28" s="25">
        <v>8</v>
      </c>
      <c r="B28" s="26" t="str">
        <f>IFERROR(INDEX('Gäster'!$A$2:$A$301,MATCH("2-8",'Gäster'!$O$2:$O$301,0))&amp;" "&amp;INDEX('Gäster'!$B$2:$B$301,MATCH("2-8",'Gäster'!$O$2:$O$301,0)),"")</f>
        <v/>
      </c>
    </row>
    <row r="29" ht="22" customHeight="1" spans="1:2" x14ac:dyDescent="0.25">
      <c r="A29" s="25">
        <v>9</v>
      </c>
      <c r="B29" s="26" t="str">
        <f>IFERROR(INDEX('Gäster'!$A$2:$A$301,MATCH("2-9",'Gäster'!$O$2:$O$301,0))&amp;" "&amp;INDEX('Gäster'!$B$2:$B$301,MATCH("2-9",'Gäster'!$O$2:$O$301,0)),"")</f>
        <v/>
      </c>
    </row>
    <row r="30" ht="22" customHeight="1" spans="1:2" x14ac:dyDescent="0.25">
      <c r="A30" s="25">
        <v>10</v>
      </c>
      <c r="B30" s="26" t="str">
        <f>IFERROR(INDEX('Gäster'!$A$2:$A$301,MATCH("2-10",'Gäster'!$O$2:$O$301,0))&amp;" "&amp;INDEX('Gäster'!$B$2:$B$301,MATCH("2-10",'Gäster'!$O$2:$O$301,0)),"")</f>
        <v/>
      </c>
    </row>
    <row r="31" ht="22" customHeight="1" spans="1:2" x14ac:dyDescent="0.25">
      <c r="A31" s="25">
        <v>11</v>
      </c>
      <c r="B31" s="26" t="str">
        <f>IFERROR(INDEX('Gäster'!$A$2:$A$301,MATCH("2-11",'Gäster'!$O$2:$O$301,0))&amp;" "&amp;INDEX('Gäster'!$B$2:$B$301,MATCH("2-11",'Gäster'!$O$2:$O$301,0)),"")</f>
        <v/>
      </c>
    </row>
    <row r="32" ht="22" customHeight="1" spans="1:2" x14ac:dyDescent="0.25">
      <c r="A32" s="25">
        <v>12</v>
      </c>
      <c r="B32" s="26" t="str">
        <f>IFERROR(INDEX('Gäster'!$A$2:$A$301,MATCH("2-12",'Gäster'!$O$2:$O$301,0))&amp;" "&amp;INDEX('Gäster'!$B$2:$B$301,MATCH("2-12",'Gäster'!$O$2:$O$301,0)),"")</f>
        <v/>
      </c>
    </row>
    <row r="34" ht="26" customHeight="1" spans="1:2" x14ac:dyDescent="0.25">
      <c r="A34" s="23" t="s">
        <v>79</v>
      </c>
      <c r="B34" s="24" t="str">
        <f>IFERROR(IF(INDEX('Bord'!$B$2:$B$31,MATCH(3,'Bord'!$A$2:$A$31,0))&amp;""="Bord 3","",INDEX('Bord'!$B$2:$B$31,MATCH(3,'Bord'!$A$2:$A$31,0))&amp;""),"")</f>
        <v/>
      </c>
    </row>
    <row r="35" spans="1:2" x14ac:dyDescent="0.25">
      <c r="A35" s="11" t="s">
        <v>38</v>
      </c>
      <c r="B35" s="11" t="s">
        <v>92</v>
      </c>
    </row>
    <row r="36" ht="22" customHeight="1" spans="1:2" x14ac:dyDescent="0.25">
      <c r="A36" s="25">
        <v>1</v>
      </c>
      <c r="B36" s="26" t="str">
        <f>IFERROR(INDEX('Gäster'!$A$2:$A$301,MATCH("3-1",'Gäster'!$O$2:$O$301,0))&amp;" "&amp;INDEX('Gäster'!$B$2:$B$301,MATCH("3-1",'Gäster'!$O$2:$O$301,0)),"")</f>
        <v/>
      </c>
    </row>
    <row r="37" ht="22" customHeight="1" spans="1:2" x14ac:dyDescent="0.25">
      <c r="A37" s="25">
        <v>2</v>
      </c>
      <c r="B37" s="26" t="str">
        <f>IFERROR(INDEX('Gäster'!$A$2:$A$301,MATCH("3-2",'Gäster'!$O$2:$O$301,0))&amp;" "&amp;INDEX('Gäster'!$B$2:$B$301,MATCH("3-2",'Gäster'!$O$2:$O$301,0)),"")</f>
        <v/>
      </c>
    </row>
    <row r="38" ht="22" customHeight="1" spans="1:2" x14ac:dyDescent="0.25">
      <c r="A38" s="25">
        <v>3</v>
      </c>
      <c r="B38" s="26" t="str">
        <f>IFERROR(INDEX('Gäster'!$A$2:$A$301,MATCH("3-3",'Gäster'!$O$2:$O$301,0))&amp;" "&amp;INDEX('Gäster'!$B$2:$B$301,MATCH("3-3",'Gäster'!$O$2:$O$301,0)),"")</f>
        <v/>
      </c>
    </row>
    <row r="39" ht="22" customHeight="1" spans="1:2" x14ac:dyDescent="0.25">
      <c r="A39" s="25">
        <v>4</v>
      </c>
      <c r="B39" s="26" t="str">
        <f>IFERROR(INDEX('Gäster'!$A$2:$A$301,MATCH("3-4",'Gäster'!$O$2:$O$301,0))&amp;" "&amp;INDEX('Gäster'!$B$2:$B$301,MATCH("3-4",'Gäster'!$O$2:$O$301,0)),"")</f>
        <v/>
      </c>
    </row>
    <row r="40" ht="22" customHeight="1" spans="1:2" x14ac:dyDescent="0.25">
      <c r="A40" s="25">
        <v>5</v>
      </c>
      <c r="B40" s="26" t="str">
        <f>IFERROR(INDEX('Gäster'!$A$2:$A$301,MATCH("3-5",'Gäster'!$O$2:$O$301,0))&amp;" "&amp;INDEX('Gäster'!$B$2:$B$301,MATCH("3-5",'Gäster'!$O$2:$O$301,0)),"")</f>
        <v/>
      </c>
    </row>
    <row r="41" ht="22" customHeight="1" spans="1:2" x14ac:dyDescent="0.25">
      <c r="A41" s="25">
        <v>6</v>
      </c>
      <c r="B41" s="26" t="str">
        <f>IFERROR(INDEX('Gäster'!$A$2:$A$301,MATCH("3-6",'Gäster'!$O$2:$O$301,0))&amp;" "&amp;INDEX('Gäster'!$B$2:$B$301,MATCH("3-6",'Gäster'!$O$2:$O$301,0)),"")</f>
        <v/>
      </c>
    </row>
    <row r="42" ht="22" customHeight="1" spans="1:2" x14ac:dyDescent="0.25">
      <c r="A42" s="25">
        <v>7</v>
      </c>
      <c r="B42" s="26" t="str">
        <f>IFERROR(INDEX('Gäster'!$A$2:$A$301,MATCH("3-7",'Gäster'!$O$2:$O$301,0))&amp;" "&amp;INDEX('Gäster'!$B$2:$B$301,MATCH("3-7",'Gäster'!$O$2:$O$301,0)),"")</f>
        <v/>
      </c>
    </row>
    <row r="43" ht="22" customHeight="1" spans="1:2" x14ac:dyDescent="0.25">
      <c r="A43" s="25">
        <v>8</v>
      </c>
      <c r="B43" s="26" t="str">
        <f>IFERROR(INDEX('Gäster'!$A$2:$A$301,MATCH("3-8",'Gäster'!$O$2:$O$301,0))&amp;" "&amp;INDEX('Gäster'!$B$2:$B$301,MATCH("3-8",'Gäster'!$O$2:$O$301,0)),"")</f>
        <v/>
      </c>
    </row>
    <row r="44" ht="22" customHeight="1" spans="1:2" x14ac:dyDescent="0.25">
      <c r="A44" s="25">
        <v>9</v>
      </c>
      <c r="B44" s="26" t="str">
        <f>IFERROR(INDEX('Gäster'!$A$2:$A$301,MATCH("3-9",'Gäster'!$O$2:$O$301,0))&amp;" "&amp;INDEX('Gäster'!$B$2:$B$301,MATCH("3-9",'Gäster'!$O$2:$O$301,0)),"")</f>
        <v/>
      </c>
    </row>
    <row r="45" ht="22" customHeight="1" spans="1:2" x14ac:dyDescent="0.25">
      <c r="A45" s="25">
        <v>10</v>
      </c>
      <c r="B45" s="26" t="str">
        <f>IFERROR(INDEX('Gäster'!$A$2:$A$301,MATCH("3-10",'Gäster'!$O$2:$O$301,0))&amp;" "&amp;INDEX('Gäster'!$B$2:$B$301,MATCH("3-10",'Gäster'!$O$2:$O$301,0)),"")</f>
        <v/>
      </c>
    </row>
    <row r="46" ht="22" customHeight="1" spans="1:2" x14ac:dyDescent="0.25">
      <c r="A46" s="25">
        <v>11</v>
      </c>
      <c r="B46" s="26" t="str">
        <f>IFERROR(INDEX('Gäster'!$A$2:$A$301,MATCH("3-11",'Gäster'!$O$2:$O$301,0))&amp;" "&amp;INDEX('Gäster'!$B$2:$B$301,MATCH("3-11",'Gäster'!$O$2:$O$301,0)),"")</f>
        <v/>
      </c>
    </row>
    <row r="47" ht="22" customHeight="1" spans="1:2" x14ac:dyDescent="0.25">
      <c r="A47" s="25">
        <v>12</v>
      </c>
      <c r="B47" s="26" t="str">
        <f>IFERROR(INDEX('Gäster'!$A$2:$A$301,MATCH("3-12",'Gäster'!$O$2:$O$301,0))&amp;" "&amp;INDEX('Gäster'!$B$2:$B$301,MATCH("3-12",'Gäster'!$O$2:$O$301,0)),"")</f>
        <v/>
      </c>
    </row>
    <row r="49" ht="26" customHeight="1" spans="1:2" x14ac:dyDescent="0.25">
      <c r="A49" s="23" t="s">
        <v>80</v>
      </c>
      <c r="B49" s="24" t="str">
        <f>IFERROR(IF(INDEX('Bord'!$B$2:$B$31,MATCH(4,'Bord'!$A$2:$A$31,0))&amp;""="Bord 4","",INDEX('Bord'!$B$2:$B$31,MATCH(4,'Bord'!$A$2:$A$31,0))&amp;""),"")</f>
        <v/>
      </c>
    </row>
    <row r="50" spans="1:2" x14ac:dyDescent="0.25">
      <c r="A50" s="11" t="s">
        <v>38</v>
      </c>
      <c r="B50" s="11" t="s">
        <v>92</v>
      </c>
    </row>
    <row r="51" ht="22" customHeight="1" spans="1:2" x14ac:dyDescent="0.25">
      <c r="A51" s="25">
        <v>1</v>
      </c>
      <c r="B51" s="26" t="str">
        <f>IFERROR(INDEX('Gäster'!$A$2:$A$301,MATCH("4-1",'Gäster'!$O$2:$O$301,0))&amp;" "&amp;INDEX('Gäster'!$B$2:$B$301,MATCH("4-1",'Gäster'!$O$2:$O$301,0)),"")</f>
        <v/>
      </c>
    </row>
    <row r="52" ht="22" customHeight="1" spans="1:2" x14ac:dyDescent="0.25">
      <c r="A52" s="25">
        <v>2</v>
      </c>
      <c r="B52" s="26" t="str">
        <f>IFERROR(INDEX('Gäster'!$A$2:$A$301,MATCH("4-2",'Gäster'!$O$2:$O$301,0))&amp;" "&amp;INDEX('Gäster'!$B$2:$B$301,MATCH("4-2",'Gäster'!$O$2:$O$301,0)),"")</f>
        <v/>
      </c>
    </row>
    <row r="53" ht="22" customHeight="1" spans="1:2" x14ac:dyDescent="0.25">
      <c r="A53" s="25">
        <v>3</v>
      </c>
      <c r="B53" s="26" t="str">
        <f>IFERROR(INDEX('Gäster'!$A$2:$A$301,MATCH("4-3",'Gäster'!$O$2:$O$301,0))&amp;" "&amp;INDEX('Gäster'!$B$2:$B$301,MATCH("4-3",'Gäster'!$O$2:$O$301,0)),"")</f>
        <v/>
      </c>
    </row>
    <row r="54" ht="22" customHeight="1" spans="1:2" x14ac:dyDescent="0.25">
      <c r="A54" s="25">
        <v>4</v>
      </c>
      <c r="B54" s="26" t="str">
        <f>IFERROR(INDEX('Gäster'!$A$2:$A$301,MATCH("4-4",'Gäster'!$O$2:$O$301,0))&amp;" "&amp;INDEX('Gäster'!$B$2:$B$301,MATCH("4-4",'Gäster'!$O$2:$O$301,0)),"")</f>
        <v/>
      </c>
    </row>
    <row r="55" ht="22" customHeight="1" spans="1:2" x14ac:dyDescent="0.25">
      <c r="A55" s="25">
        <v>5</v>
      </c>
      <c r="B55" s="26" t="str">
        <f>IFERROR(INDEX('Gäster'!$A$2:$A$301,MATCH("4-5",'Gäster'!$O$2:$O$301,0))&amp;" "&amp;INDEX('Gäster'!$B$2:$B$301,MATCH("4-5",'Gäster'!$O$2:$O$301,0)),"")</f>
        <v/>
      </c>
    </row>
    <row r="56" ht="22" customHeight="1" spans="1:2" x14ac:dyDescent="0.25">
      <c r="A56" s="25">
        <v>6</v>
      </c>
      <c r="B56" s="26" t="str">
        <f>IFERROR(INDEX('Gäster'!$A$2:$A$301,MATCH("4-6",'Gäster'!$O$2:$O$301,0))&amp;" "&amp;INDEX('Gäster'!$B$2:$B$301,MATCH("4-6",'Gäster'!$O$2:$O$301,0)),"")</f>
        <v/>
      </c>
    </row>
    <row r="57" ht="22" customHeight="1" spans="1:2" x14ac:dyDescent="0.25">
      <c r="A57" s="25">
        <v>7</v>
      </c>
      <c r="B57" s="26" t="str">
        <f>IFERROR(INDEX('Gäster'!$A$2:$A$301,MATCH("4-7",'Gäster'!$O$2:$O$301,0))&amp;" "&amp;INDEX('Gäster'!$B$2:$B$301,MATCH("4-7",'Gäster'!$O$2:$O$301,0)),"")</f>
        <v/>
      </c>
    </row>
    <row r="58" ht="22" customHeight="1" spans="1:2" x14ac:dyDescent="0.25">
      <c r="A58" s="25">
        <v>8</v>
      </c>
      <c r="B58" s="26" t="str">
        <f>IFERROR(INDEX('Gäster'!$A$2:$A$301,MATCH("4-8",'Gäster'!$O$2:$O$301,0))&amp;" "&amp;INDEX('Gäster'!$B$2:$B$301,MATCH("4-8",'Gäster'!$O$2:$O$301,0)),"")</f>
        <v/>
      </c>
    </row>
    <row r="59" ht="22" customHeight="1" spans="1:2" x14ac:dyDescent="0.25">
      <c r="A59" s="25">
        <v>9</v>
      </c>
      <c r="B59" s="26" t="str">
        <f>IFERROR(INDEX('Gäster'!$A$2:$A$301,MATCH("4-9",'Gäster'!$O$2:$O$301,0))&amp;" "&amp;INDEX('Gäster'!$B$2:$B$301,MATCH("4-9",'Gäster'!$O$2:$O$301,0)),"")</f>
        <v/>
      </c>
    </row>
    <row r="60" ht="22" customHeight="1" spans="1:2" x14ac:dyDescent="0.25">
      <c r="A60" s="25">
        <v>10</v>
      </c>
      <c r="B60" s="26" t="str">
        <f>IFERROR(INDEX('Gäster'!$A$2:$A$301,MATCH("4-10",'Gäster'!$O$2:$O$301,0))&amp;" "&amp;INDEX('Gäster'!$B$2:$B$301,MATCH("4-10",'Gäster'!$O$2:$O$301,0)),"")</f>
        <v/>
      </c>
    </row>
    <row r="61" ht="22" customHeight="1" spans="1:2" x14ac:dyDescent="0.25">
      <c r="A61" s="25">
        <v>11</v>
      </c>
      <c r="B61" s="26" t="str">
        <f>IFERROR(INDEX('Gäster'!$A$2:$A$301,MATCH("4-11",'Gäster'!$O$2:$O$301,0))&amp;" "&amp;INDEX('Gäster'!$B$2:$B$301,MATCH("4-11",'Gäster'!$O$2:$O$301,0)),"")</f>
        <v/>
      </c>
    </row>
    <row r="62" ht="22" customHeight="1" spans="1:2" x14ac:dyDescent="0.25">
      <c r="A62" s="25">
        <v>12</v>
      </c>
      <c r="B62" s="26" t="str">
        <f>IFERROR(INDEX('Gäster'!$A$2:$A$301,MATCH("4-12",'Gäster'!$O$2:$O$301,0))&amp;" "&amp;INDEX('Gäster'!$B$2:$B$301,MATCH("4-12",'Gäster'!$O$2:$O$301,0)),"")</f>
        <v/>
      </c>
    </row>
    <row r="64" ht="26" customHeight="1" spans="1:2" x14ac:dyDescent="0.25">
      <c r="A64" s="23" t="s">
        <v>81</v>
      </c>
      <c r="B64" s="24" t="str">
        <f>IFERROR(IF(INDEX('Bord'!$B$2:$B$31,MATCH(5,'Bord'!$A$2:$A$31,0))&amp;""="Bord 5","",INDEX('Bord'!$B$2:$B$31,MATCH(5,'Bord'!$A$2:$A$31,0))&amp;""),"")</f>
        <v/>
      </c>
    </row>
    <row r="65" spans="1:2" x14ac:dyDescent="0.25">
      <c r="A65" s="11" t="s">
        <v>38</v>
      </c>
      <c r="B65" s="11" t="s">
        <v>92</v>
      </c>
    </row>
    <row r="66" ht="22" customHeight="1" spans="1:2" x14ac:dyDescent="0.25">
      <c r="A66" s="25">
        <v>1</v>
      </c>
      <c r="B66" s="26" t="str">
        <f>IFERROR(INDEX('Gäster'!$A$2:$A$301,MATCH("5-1",'Gäster'!$O$2:$O$301,0))&amp;" "&amp;INDEX('Gäster'!$B$2:$B$301,MATCH("5-1",'Gäster'!$O$2:$O$301,0)),"")</f>
        <v/>
      </c>
    </row>
    <row r="67" ht="22" customHeight="1" spans="1:2" x14ac:dyDescent="0.25">
      <c r="A67" s="25">
        <v>2</v>
      </c>
      <c r="B67" s="26" t="str">
        <f>IFERROR(INDEX('Gäster'!$A$2:$A$301,MATCH("5-2",'Gäster'!$O$2:$O$301,0))&amp;" "&amp;INDEX('Gäster'!$B$2:$B$301,MATCH("5-2",'Gäster'!$O$2:$O$301,0)),"")</f>
        <v/>
      </c>
    </row>
    <row r="68" ht="22" customHeight="1" spans="1:2" x14ac:dyDescent="0.25">
      <c r="A68" s="25">
        <v>3</v>
      </c>
      <c r="B68" s="26" t="str">
        <f>IFERROR(INDEX('Gäster'!$A$2:$A$301,MATCH("5-3",'Gäster'!$O$2:$O$301,0))&amp;" "&amp;INDEX('Gäster'!$B$2:$B$301,MATCH("5-3",'Gäster'!$O$2:$O$301,0)),"")</f>
        <v/>
      </c>
    </row>
    <row r="69" ht="22" customHeight="1" spans="1:2" x14ac:dyDescent="0.25">
      <c r="A69" s="25">
        <v>4</v>
      </c>
      <c r="B69" s="26" t="str">
        <f>IFERROR(INDEX('Gäster'!$A$2:$A$301,MATCH("5-4",'Gäster'!$O$2:$O$301,0))&amp;" "&amp;INDEX('Gäster'!$B$2:$B$301,MATCH("5-4",'Gäster'!$O$2:$O$301,0)),"")</f>
        <v/>
      </c>
    </row>
    <row r="70" ht="22" customHeight="1" spans="1:2" x14ac:dyDescent="0.25">
      <c r="A70" s="25">
        <v>5</v>
      </c>
      <c r="B70" s="26" t="str">
        <f>IFERROR(INDEX('Gäster'!$A$2:$A$301,MATCH("5-5",'Gäster'!$O$2:$O$301,0))&amp;" "&amp;INDEX('Gäster'!$B$2:$B$301,MATCH("5-5",'Gäster'!$O$2:$O$301,0)),"")</f>
        <v/>
      </c>
    </row>
    <row r="71" ht="22" customHeight="1" spans="1:2" x14ac:dyDescent="0.25">
      <c r="A71" s="25">
        <v>6</v>
      </c>
      <c r="B71" s="26" t="str">
        <f>IFERROR(INDEX('Gäster'!$A$2:$A$301,MATCH("5-6",'Gäster'!$O$2:$O$301,0))&amp;" "&amp;INDEX('Gäster'!$B$2:$B$301,MATCH("5-6",'Gäster'!$O$2:$O$301,0)),"")</f>
        <v/>
      </c>
    </row>
    <row r="72" ht="22" customHeight="1" spans="1:2" x14ac:dyDescent="0.25">
      <c r="A72" s="25">
        <v>7</v>
      </c>
      <c r="B72" s="26" t="str">
        <f>IFERROR(INDEX('Gäster'!$A$2:$A$301,MATCH("5-7",'Gäster'!$O$2:$O$301,0))&amp;" "&amp;INDEX('Gäster'!$B$2:$B$301,MATCH("5-7",'Gäster'!$O$2:$O$301,0)),"")</f>
        <v/>
      </c>
    </row>
    <row r="73" ht="22" customHeight="1" spans="1:2" x14ac:dyDescent="0.25">
      <c r="A73" s="25">
        <v>8</v>
      </c>
      <c r="B73" s="26" t="str">
        <f>IFERROR(INDEX('Gäster'!$A$2:$A$301,MATCH("5-8",'Gäster'!$O$2:$O$301,0))&amp;" "&amp;INDEX('Gäster'!$B$2:$B$301,MATCH("5-8",'Gäster'!$O$2:$O$301,0)),"")</f>
        <v/>
      </c>
    </row>
    <row r="74" ht="22" customHeight="1" spans="1:2" x14ac:dyDescent="0.25">
      <c r="A74" s="25">
        <v>9</v>
      </c>
      <c r="B74" s="26" t="str">
        <f>IFERROR(INDEX('Gäster'!$A$2:$A$301,MATCH("5-9",'Gäster'!$O$2:$O$301,0))&amp;" "&amp;INDEX('Gäster'!$B$2:$B$301,MATCH("5-9",'Gäster'!$O$2:$O$301,0)),"")</f>
        <v/>
      </c>
    </row>
    <row r="75" ht="22" customHeight="1" spans="1:2" x14ac:dyDescent="0.25">
      <c r="A75" s="25">
        <v>10</v>
      </c>
      <c r="B75" s="26" t="str">
        <f>IFERROR(INDEX('Gäster'!$A$2:$A$301,MATCH("5-10",'Gäster'!$O$2:$O$301,0))&amp;" "&amp;INDEX('Gäster'!$B$2:$B$301,MATCH("5-10",'Gäster'!$O$2:$O$301,0)),"")</f>
        <v/>
      </c>
    </row>
    <row r="76" ht="22" customHeight="1" spans="1:2" x14ac:dyDescent="0.25">
      <c r="A76" s="25">
        <v>11</v>
      </c>
      <c r="B76" s="26" t="str">
        <f>IFERROR(INDEX('Gäster'!$A$2:$A$301,MATCH("5-11",'Gäster'!$O$2:$O$301,0))&amp;" "&amp;INDEX('Gäster'!$B$2:$B$301,MATCH("5-11",'Gäster'!$O$2:$O$301,0)),"")</f>
        <v/>
      </c>
    </row>
    <row r="77" ht="22" customHeight="1" spans="1:2" x14ac:dyDescent="0.25">
      <c r="A77" s="25">
        <v>12</v>
      </c>
      <c r="B77" s="26" t="str">
        <f>IFERROR(INDEX('Gäster'!$A$2:$A$301,MATCH("5-12",'Gäster'!$O$2:$O$301,0))&amp;" "&amp;INDEX('Gäster'!$B$2:$B$301,MATCH("5-12",'Gäster'!$O$2:$O$301,0)),"")</f>
        <v/>
      </c>
    </row>
    <row r="79" ht="26" customHeight="1" spans="1:2" x14ac:dyDescent="0.25">
      <c r="A79" s="23" t="s">
        <v>82</v>
      </c>
      <c r="B79" s="24" t="str">
        <f>IFERROR(IF(INDEX('Bord'!$B$2:$B$31,MATCH(6,'Bord'!$A$2:$A$31,0))&amp;""="Bord 6","",INDEX('Bord'!$B$2:$B$31,MATCH(6,'Bord'!$A$2:$A$31,0))&amp;""),"")</f>
        <v/>
      </c>
    </row>
    <row r="80" spans="1:2" x14ac:dyDescent="0.25">
      <c r="A80" s="11" t="s">
        <v>38</v>
      </c>
      <c r="B80" s="11" t="s">
        <v>92</v>
      </c>
    </row>
    <row r="81" ht="22" customHeight="1" spans="1:2" x14ac:dyDescent="0.25">
      <c r="A81" s="25">
        <v>1</v>
      </c>
      <c r="B81" s="26" t="str">
        <f>IFERROR(INDEX('Gäster'!$A$2:$A$301,MATCH("6-1",'Gäster'!$O$2:$O$301,0))&amp;" "&amp;INDEX('Gäster'!$B$2:$B$301,MATCH("6-1",'Gäster'!$O$2:$O$301,0)),"")</f>
        <v/>
      </c>
    </row>
    <row r="82" ht="22" customHeight="1" spans="1:2" x14ac:dyDescent="0.25">
      <c r="A82" s="25">
        <v>2</v>
      </c>
      <c r="B82" s="26" t="str">
        <f>IFERROR(INDEX('Gäster'!$A$2:$A$301,MATCH("6-2",'Gäster'!$O$2:$O$301,0))&amp;" "&amp;INDEX('Gäster'!$B$2:$B$301,MATCH("6-2",'Gäster'!$O$2:$O$301,0)),"")</f>
        <v/>
      </c>
    </row>
    <row r="83" ht="22" customHeight="1" spans="1:2" x14ac:dyDescent="0.25">
      <c r="A83" s="25">
        <v>3</v>
      </c>
      <c r="B83" s="26" t="str">
        <f>IFERROR(INDEX('Gäster'!$A$2:$A$301,MATCH("6-3",'Gäster'!$O$2:$O$301,0))&amp;" "&amp;INDEX('Gäster'!$B$2:$B$301,MATCH("6-3",'Gäster'!$O$2:$O$301,0)),"")</f>
        <v/>
      </c>
    </row>
    <row r="84" ht="22" customHeight="1" spans="1:2" x14ac:dyDescent="0.25">
      <c r="A84" s="25">
        <v>4</v>
      </c>
      <c r="B84" s="26" t="str">
        <f>IFERROR(INDEX('Gäster'!$A$2:$A$301,MATCH("6-4",'Gäster'!$O$2:$O$301,0))&amp;" "&amp;INDEX('Gäster'!$B$2:$B$301,MATCH("6-4",'Gäster'!$O$2:$O$301,0)),"")</f>
        <v/>
      </c>
    </row>
    <row r="85" ht="22" customHeight="1" spans="1:2" x14ac:dyDescent="0.25">
      <c r="A85" s="25">
        <v>5</v>
      </c>
      <c r="B85" s="26" t="str">
        <f>IFERROR(INDEX('Gäster'!$A$2:$A$301,MATCH("6-5",'Gäster'!$O$2:$O$301,0))&amp;" "&amp;INDEX('Gäster'!$B$2:$B$301,MATCH("6-5",'Gäster'!$O$2:$O$301,0)),"")</f>
        <v/>
      </c>
    </row>
    <row r="86" ht="22" customHeight="1" spans="1:2" x14ac:dyDescent="0.25">
      <c r="A86" s="25">
        <v>6</v>
      </c>
      <c r="B86" s="26" t="str">
        <f>IFERROR(INDEX('Gäster'!$A$2:$A$301,MATCH("6-6",'Gäster'!$O$2:$O$301,0))&amp;" "&amp;INDEX('Gäster'!$B$2:$B$301,MATCH("6-6",'Gäster'!$O$2:$O$301,0)),"")</f>
        <v/>
      </c>
    </row>
    <row r="87" ht="22" customHeight="1" spans="1:2" x14ac:dyDescent="0.25">
      <c r="A87" s="25">
        <v>7</v>
      </c>
      <c r="B87" s="26" t="str">
        <f>IFERROR(INDEX('Gäster'!$A$2:$A$301,MATCH("6-7",'Gäster'!$O$2:$O$301,0))&amp;" "&amp;INDEX('Gäster'!$B$2:$B$301,MATCH("6-7",'Gäster'!$O$2:$O$301,0)),"")</f>
        <v/>
      </c>
    </row>
    <row r="88" ht="22" customHeight="1" spans="1:2" x14ac:dyDescent="0.25">
      <c r="A88" s="25">
        <v>8</v>
      </c>
      <c r="B88" s="26" t="str">
        <f>IFERROR(INDEX('Gäster'!$A$2:$A$301,MATCH("6-8",'Gäster'!$O$2:$O$301,0))&amp;" "&amp;INDEX('Gäster'!$B$2:$B$301,MATCH("6-8",'Gäster'!$O$2:$O$301,0)),"")</f>
        <v/>
      </c>
    </row>
    <row r="89" ht="22" customHeight="1" spans="1:2" x14ac:dyDescent="0.25">
      <c r="A89" s="25">
        <v>9</v>
      </c>
      <c r="B89" s="26" t="str">
        <f>IFERROR(INDEX('Gäster'!$A$2:$A$301,MATCH("6-9",'Gäster'!$O$2:$O$301,0))&amp;" "&amp;INDEX('Gäster'!$B$2:$B$301,MATCH("6-9",'Gäster'!$O$2:$O$301,0)),"")</f>
        <v/>
      </c>
    </row>
    <row r="90" ht="22" customHeight="1" spans="1:2" x14ac:dyDescent="0.25">
      <c r="A90" s="25">
        <v>10</v>
      </c>
      <c r="B90" s="26" t="str">
        <f>IFERROR(INDEX('Gäster'!$A$2:$A$301,MATCH("6-10",'Gäster'!$O$2:$O$301,0))&amp;" "&amp;INDEX('Gäster'!$B$2:$B$301,MATCH("6-10",'Gäster'!$O$2:$O$301,0)),"")</f>
        <v/>
      </c>
    </row>
    <row r="91" ht="22" customHeight="1" spans="1:2" x14ac:dyDescent="0.25">
      <c r="A91" s="25">
        <v>11</v>
      </c>
      <c r="B91" s="26" t="str">
        <f>IFERROR(INDEX('Gäster'!$A$2:$A$301,MATCH("6-11",'Gäster'!$O$2:$O$301,0))&amp;" "&amp;INDEX('Gäster'!$B$2:$B$301,MATCH("6-11",'Gäster'!$O$2:$O$301,0)),"")</f>
        <v/>
      </c>
    </row>
    <row r="92" ht="22" customHeight="1" spans="1:2" x14ac:dyDescent="0.25">
      <c r="A92" s="25">
        <v>12</v>
      </c>
      <c r="B92" s="26" t="str">
        <f>IFERROR(INDEX('Gäster'!$A$2:$A$301,MATCH("6-12",'Gäster'!$O$2:$O$301,0))&amp;" "&amp;INDEX('Gäster'!$B$2:$B$301,MATCH("6-12",'Gäster'!$O$2:$O$301,0)),"")</f>
        <v/>
      </c>
    </row>
    <row r="94" ht="26" customHeight="1" spans="1:2" x14ac:dyDescent="0.25">
      <c r="A94" s="23" t="s">
        <v>83</v>
      </c>
      <c r="B94" s="24" t="str">
        <f>IFERROR(IF(INDEX('Bord'!$B$2:$B$31,MATCH(7,'Bord'!$A$2:$A$31,0))&amp;""="Bord 7","",INDEX('Bord'!$B$2:$B$31,MATCH(7,'Bord'!$A$2:$A$31,0))&amp;""),"")</f>
        <v/>
      </c>
    </row>
    <row r="95" spans="1:2" x14ac:dyDescent="0.25">
      <c r="A95" s="11" t="s">
        <v>38</v>
      </c>
      <c r="B95" s="11" t="s">
        <v>92</v>
      </c>
    </row>
    <row r="96" ht="22" customHeight="1" spans="1:2" x14ac:dyDescent="0.25">
      <c r="A96" s="25">
        <v>1</v>
      </c>
      <c r="B96" s="26" t="str">
        <f>IFERROR(INDEX('Gäster'!$A$2:$A$301,MATCH("7-1",'Gäster'!$O$2:$O$301,0))&amp;" "&amp;INDEX('Gäster'!$B$2:$B$301,MATCH("7-1",'Gäster'!$O$2:$O$301,0)),"")</f>
        <v/>
      </c>
    </row>
    <row r="97" ht="22" customHeight="1" spans="1:2" x14ac:dyDescent="0.25">
      <c r="A97" s="25">
        <v>2</v>
      </c>
      <c r="B97" s="26" t="str">
        <f>IFERROR(INDEX('Gäster'!$A$2:$A$301,MATCH("7-2",'Gäster'!$O$2:$O$301,0))&amp;" "&amp;INDEX('Gäster'!$B$2:$B$301,MATCH("7-2",'Gäster'!$O$2:$O$301,0)),"")</f>
        <v/>
      </c>
    </row>
    <row r="98" ht="22" customHeight="1" spans="1:2" x14ac:dyDescent="0.25">
      <c r="A98" s="25">
        <v>3</v>
      </c>
      <c r="B98" s="26" t="str">
        <f>IFERROR(INDEX('Gäster'!$A$2:$A$301,MATCH("7-3",'Gäster'!$O$2:$O$301,0))&amp;" "&amp;INDEX('Gäster'!$B$2:$B$301,MATCH("7-3",'Gäster'!$O$2:$O$301,0)),"")</f>
        <v/>
      </c>
    </row>
    <row r="99" ht="22" customHeight="1" spans="1:2" x14ac:dyDescent="0.25">
      <c r="A99" s="25">
        <v>4</v>
      </c>
      <c r="B99" s="26" t="str">
        <f>IFERROR(INDEX('Gäster'!$A$2:$A$301,MATCH("7-4",'Gäster'!$O$2:$O$301,0))&amp;" "&amp;INDEX('Gäster'!$B$2:$B$301,MATCH("7-4",'Gäster'!$O$2:$O$301,0)),"")</f>
        <v/>
      </c>
    </row>
    <row r="100" ht="22" customHeight="1" spans="1:2" x14ac:dyDescent="0.25">
      <c r="A100" s="25">
        <v>5</v>
      </c>
      <c r="B100" s="26" t="str">
        <f>IFERROR(INDEX('Gäster'!$A$2:$A$301,MATCH("7-5",'Gäster'!$O$2:$O$301,0))&amp;" "&amp;INDEX('Gäster'!$B$2:$B$301,MATCH("7-5",'Gäster'!$O$2:$O$301,0)),"")</f>
        <v/>
      </c>
    </row>
    <row r="101" ht="22" customHeight="1" spans="1:2" x14ac:dyDescent="0.25">
      <c r="A101" s="25">
        <v>6</v>
      </c>
      <c r="B101" s="26" t="str">
        <f>IFERROR(INDEX('Gäster'!$A$2:$A$301,MATCH("7-6",'Gäster'!$O$2:$O$301,0))&amp;" "&amp;INDEX('Gäster'!$B$2:$B$301,MATCH("7-6",'Gäster'!$O$2:$O$301,0)),"")</f>
        <v/>
      </c>
    </row>
    <row r="102" ht="22" customHeight="1" spans="1:2" x14ac:dyDescent="0.25">
      <c r="A102" s="25">
        <v>7</v>
      </c>
      <c r="B102" s="26" t="str">
        <f>IFERROR(INDEX('Gäster'!$A$2:$A$301,MATCH("7-7",'Gäster'!$O$2:$O$301,0))&amp;" "&amp;INDEX('Gäster'!$B$2:$B$301,MATCH("7-7",'Gäster'!$O$2:$O$301,0)),"")</f>
        <v/>
      </c>
    </row>
    <row r="103" ht="22" customHeight="1" spans="1:2" x14ac:dyDescent="0.25">
      <c r="A103" s="25">
        <v>8</v>
      </c>
      <c r="B103" s="26" t="str">
        <f>IFERROR(INDEX('Gäster'!$A$2:$A$301,MATCH("7-8",'Gäster'!$O$2:$O$301,0))&amp;" "&amp;INDEX('Gäster'!$B$2:$B$301,MATCH("7-8",'Gäster'!$O$2:$O$301,0)),"")</f>
        <v/>
      </c>
    </row>
    <row r="104" ht="22" customHeight="1" spans="1:2" x14ac:dyDescent="0.25">
      <c r="A104" s="25">
        <v>9</v>
      </c>
      <c r="B104" s="26" t="str">
        <f>IFERROR(INDEX('Gäster'!$A$2:$A$301,MATCH("7-9",'Gäster'!$O$2:$O$301,0))&amp;" "&amp;INDEX('Gäster'!$B$2:$B$301,MATCH("7-9",'Gäster'!$O$2:$O$301,0)),"")</f>
        <v/>
      </c>
    </row>
    <row r="105" ht="22" customHeight="1" spans="1:2" x14ac:dyDescent="0.25">
      <c r="A105" s="25">
        <v>10</v>
      </c>
      <c r="B105" s="26" t="str">
        <f>IFERROR(INDEX('Gäster'!$A$2:$A$301,MATCH("7-10",'Gäster'!$O$2:$O$301,0))&amp;" "&amp;INDEX('Gäster'!$B$2:$B$301,MATCH("7-10",'Gäster'!$O$2:$O$301,0)),"")</f>
        <v/>
      </c>
    </row>
    <row r="106" ht="22" customHeight="1" spans="1:2" x14ac:dyDescent="0.25">
      <c r="A106" s="25">
        <v>11</v>
      </c>
      <c r="B106" s="26" t="str">
        <f>IFERROR(INDEX('Gäster'!$A$2:$A$301,MATCH("7-11",'Gäster'!$O$2:$O$301,0))&amp;" "&amp;INDEX('Gäster'!$B$2:$B$301,MATCH("7-11",'Gäster'!$O$2:$O$301,0)),"")</f>
        <v/>
      </c>
    </row>
    <row r="107" ht="22" customHeight="1" spans="1:2" x14ac:dyDescent="0.25">
      <c r="A107" s="25">
        <v>12</v>
      </c>
      <c r="B107" s="26" t="str">
        <f>IFERROR(INDEX('Gäster'!$A$2:$A$301,MATCH("7-12",'Gäster'!$O$2:$O$301,0))&amp;" "&amp;INDEX('Gäster'!$B$2:$B$301,MATCH("7-12",'Gäster'!$O$2:$O$301,0)),"")</f>
        <v/>
      </c>
    </row>
    <row r="109" ht="26" customHeight="1" spans="1:2" x14ac:dyDescent="0.25">
      <c r="A109" s="23" t="s">
        <v>84</v>
      </c>
      <c r="B109" s="24" t="str">
        <f>IFERROR(IF(INDEX('Bord'!$B$2:$B$31,MATCH(8,'Bord'!$A$2:$A$31,0))&amp;""="Bord 8","",INDEX('Bord'!$B$2:$B$31,MATCH(8,'Bord'!$A$2:$A$31,0))&amp;""),"")</f>
        <v/>
      </c>
    </row>
    <row r="110" spans="1:2" x14ac:dyDescent="0.25">
      <c r="A110" s="11" t="s">
        <v>38</v>
      </c>
      <c r="B110" s="11" t="s">
        <v>92</v>
      </c>
    </row>
    <row r="111" ht="22" customHeight="1" spans="1:2" x14ac:dyDescent="0.25">
      <c r="A111" s="25">
        <v>1</v>
      </c>
      <c r="B111" s="26" t="str">
        <f>IFERROR(INDEX('Gäster'!$A$2:$A$301,MATCH("8-1",'Gäster'!$O$2:$O$301,0))&amp;" "&amp;INDEX('Gäster'!$B$2:$B$301,MATCH("8-1",'Gäster'!$O$2:$O$301,0)),"")</f>
        <v/>
      </c>
    </row>
    <row r="112" ht="22" customHeight="1" spans="1:2" x14ac:dyDescent="0.25">
      <c r="A112" s="25">
        <v>2</v>
      </c>
      <c r="B112" s="26" t="str">
        <f>IFERROR(INDEX('Gäster'!$A$2:$A$301,MATCH("8-2",'Gäster'!$O$2:$O$301,0))&amp;" "&amp;INDEX('Gäster'!$B$2:$B$301,MATCH("8-2",'Gäster'!$O$2:$O$301,0)),"")</f>
        <v/>
      </c>
    </row>
    <row r="113" ht="22" customHeight="1" spans="1:2" x14ac:dyDescent="0.25">
      <c r="A113" s="25">
        <v>3</v>
      </c>
      <c r="B113" s="26" t="str">
        <f>IFERROR(INDEX('Gäster'!$A$2:$A$301,MATCH("8-3",'Gäster'!$O$2:$O$301,0))&amp;" "&amp;INDEX('Gäster'!$B$2:$B$301,MATCH("8-3",'Gäster'!$O$2:$O$301,0)),"")</f>
        <v/>
      </c>
    </row>
    <row r="114" ht="22" customHeight="1" spans="1:2" x14ac:dyDescent="0.25">
      <c r="A114" s="25">
        <v>4</v>
      </c>
      <c r="B114" s="26" t="str">
        <f>IFERROR(INDEX('Gäster'!$A$2:$A$301,MATCH("8-4",'Gäster'!$O$2:$O$301,0))&amp;" "&amp;INDEX('Gäster'!$B$2:$B$301,MATCH("8-4",'Gäster'!$O$2:$O$301,0)),"")</f>
        <v/>
      </c>
    </row>
    <row r="115" ht="22" customHeight="1" spans="1:2" x14ac:dyDescent="0.25">
      <c r="A115" s="25">
        <v>5</v>
      </c>
      <c r="B115" s="26" t="str">
        <f>IFERROR(INDEX('Gäster'!$A$2:$A$301,MATCH("8-5",'Gäster'!$O$2:$O$301,0))&amp;" "&amp;INDEX('Gäster'!$B$2:$B$301,MATCH("8-5",'Gäster'!$O$2:$O$301,0)),"")</f>
        <v/>
      </c>
    </row>
    <row r="116" ht="22" customHeight="1" spans="1:2" x14ac:dyDescent="0.25">
      <c r="A116" s="25">
        <v>6</v>
      </c>
      <c r="B116" s="26" t="str">
        <f>IFERROR(INDEX('Gäster'!$A$2:$A$301,MATCH("8-6",'Gäster'!$O$2:$O$301,0))&amp;" "&amp;INDEX('Gäster'!$B$2:$B$301,MATCH("8-6",'Gäster'!$O$2:$O$301,0)),"")</f>
        <v/>
      </c>
    </row>
    <row r="117" ht="22" customHeight="1" spans="1:2" x14ac:dyDescent="0.25">
      <c r="A117" s="25">
        <v>7</v>
      </c>
      <c r="B117" s="26" t="str">
        <f>IFERROR(INDEX('Gäster'!$A$2:$A$301,MATCH("8-7",'Gäster'!$O$2:$O$301,0))&amp;" "&amp;INDEX('Gäster'!$B$2:$B$301,MATCH("8-7",'Gäster'!$O$2:$O$301,0)),"")</f>
        <v/>
      </c>
    </row>
    <row r="118" ht="22" customHeight="1" spans="1:2" x14ac:dyDescent="0.25">
      <c r="A118" s="25">
        <v>8</v>
      </c>
      <c r="B118" s="26" t="str">
        <f>IFERROR(INDEX('Gäster'!$A$2:$A$301,MATCH("8-8",'Gäster'!$O$2:$O$301,0))&amp;" "&amp;INDEX('Gäster'!$B$2:$B$301,MATCH("8-8",'Gäster'!$O$2:$O$301,0)),"")</f>
        <v/>
      </c>
    </row>
    <row r="119" ht="22" customHeight="1" spans="1:2" x14ac:dyDescent="0.25">
      <c r="A119" s="25">
        <v>9</v>
      </c>
      <c r="B119" s="26" t="str">
        <f>IFERROR(INDEX('Gäster'!$A$2:$A$301,MATCH("8-9",'Gäster'!$O$2:$O$301,0))&amp;" "&amp;INDEX('Gäster'!$B$2:$B$301,MATCH("8-9",'Gäster'!$O$2:$O$301,0)),"")</f>
        <v/>
      </c>
    </row>
    <row r="120" ht="22" customHeight="1" spans="1:2" x14ac:dyDescent="0.25">
      <c r="A120" s="25">
        <v>10</v>
      </c>
      <c r="B120" s="26" t="str">
        <f>IFERROR(INDEX('Gäster'!$A$2:$A$301,MATCH("8-10",'Gäster'!$O$2:$O$301,0))&amp;" "&amp;INDEX('Gäster'!$B$2:$B$301,MATCH("8-10",'Gäster'!$O$2:$O$301,0)),"")</f>
        <v/>
      </c>
    </row>
    <row r="121" ht="22" customHeight="1" spans="1:2" x14ac:dyDescent="0.25">
      <c r="A121" s="25">
        <v>11</v>
      </c>
      <c r="B121" s="26" t="str">
        <f>IFERROR(INDEX('Gäster'!$A$2:$A$301,MATCH("8-11",'Gäster'!$O$2:$O$301,0))&amp;" "&amp;INDEX('Gäster'!$B$2:$B$301,MATCH("8-11",'Gäster'!$O$2:$O$301,0)),"")</f>
        <v/>
      </c>
    </row>
    <row r="122" ht="22" customHeight="1" spans="1:2" x14ac:dyDescent="0.25">
      <c r="A122" s="25">
        <v>12</v>
      </c>
      <c r="B122" s="26" t="str">
        <f>IFERROR(INDEX('Gäster'!$A$2:$A$301,MATCH("8-12",'Gäster'!$O$2:$O$301,0))&amp;" "&amp;INDEX('Gäster'!$B$2:$B$301,MATCH("8-12",'Gäster'!$O$2:$O$301,0)),"")</f>
        <v/>
      </c>
    </row>
    <row r="124" ht="26" customHeight="1" spans="1:2" x14ac:dyDescent="0.25">
      <c r="A124" s="23" t="s">
        <v>85</v>
      </c>
      <c r="B124" s="24" t="str">
        <f>IFERROR(IF(INDEX('Bord'!$B$2:$B$31,MATCH(9,'Bord'!$A$2:$A$31,0))&amp;""="Bord 9","",INDEX('Bord'!$B$2:$B$31,MATCH(9,'Bord'!$A$2:$A$31,0))&amp;""),"")</f>
        <v/>
      </c>
    </row>
    <row r="125" spans="1:2" x14ac:dyDescent="0.25">
      <c r="A125" s="11" t="s">
        <v>38</v>
      </c>
      <c r="B125" s="11" t="s">
        <v>92</v>
      </c>
    </row>
    <row r="126" ht="22" customHeight="1" spans="1:2" x14ac:dyDescent="0.25">
      <c r="A126" s="25">
        <v>1</v>
      </c>
      <c r="B126" s="26" t="str">
        <f>IFERROR(INDEX('Gäster'!$A$2:$A$301,MATCH("9-1",'Gäster'!$O$2:$O$301,0))&amp;" "&amp;INDEX('Gäster'!$B$2:$B$301,MATCH("9-1",'Gäster'!$O$2:$O$301,0)),"")</f>
        <v/>
      </c>
    </row>
    <row r="127" ht="22" customHeight="1" spans="1:2" x14ac:dyDescent="0.25">
      <c r="A127" s="25">
        <v>2</v>
      </c>
      <c r="B127" s="26" t="str">
        <f>IFERROR(INDEX('Gäster'!$A$2:$A$301,MATCH("9-2",'Gäster'!$O$2:$O$301,0))&amp;" "&amp;INDEX('Gäster'!$B$2:$B$301,MATCH("9-2",'Gäster'!$O$2:$O$301,0)),"")</f>
        <v/>
      </c>
    </row>
    <row r="128" ht="22" customHeight="1" spans="1:2" x14ac:dyDescent="0.25">
      <c r="A128" s="25">
        <v>3</v>
      </c>
      <c r="B128" s="26" t="str">
        <f>IFERROR(INDEX('Gäster'!$A$2:$A$301,MATCH("9-3",'Gäster'!$O$2:$O$301,0))&amp;" "&amp;INDEX('Gäster'!$B$2:$B$301,MATCH("9-3",'Gäster'!$O$2:$O$301,0)),"")</f>
        <v/>
      </c>
    </row>
    <row r="129" ht="22" customHeight="1" spans="1:2" x14ac:dyDescent="0.25">
      <c r="A129" s="25">
        <v>4</v>
      </c>
      <c r="B129" s="26" t="str">
        <f>IFERROR(INDEX('Gäster'!$A$2:$A$301,MATCH("9-4",'Gäster'!$O$2:$O$301,0))&amp;" "&amp;INDEX('Gäster'!$B$2:$B$301,MATCH("9-4",'Gäster'!$O$2:$O$301,0)),"")</f>
        <v/>
      </c>
    </row>
    <row r="130" ht="22" customHeight="1" spans="1:2" x14ac:dyDescent="0.25">
      <c r="A130" s="25">
        <v>5</v>
      </c>
      <c r="B130" s="26" t="str">
        <f>IFERROR(INDEX('Gäster'!$A$2:$A$301,MATCH("9-5",'Gäster'!$O$2:$O$301,0))&amp;" "&amp;INDEX('Gäster'!$B$2:$B$301,MATCH("9-5",'Gäster'!$O$2:$O$301,0)),"")</f>
        <v/>
      </c>
    </row>
    <row r="131" ht="22" customHeight="1" spans="1:2" x14ac:dyDescent="0.25">
      <c r="A131" s="25">
        <v>6</v>
      </c>
      <c r="B131" s="26" t="str">
        <f>IFERROR(INDEX('Gäster'!$A$2:$A$301,MATCH("9-6",'Gäster'!$O$2:$O$301,0))&amp;" "&amp;INDEX('Gäster'!$B$2:$B$301,MATCH("9-6",'Gäster'!$O$2:$O$301,0)),"")</f>
        <v/>
      </c>
    </row>
    <row r="132" ht="22" customHeight="1" spans="1:2" x14ac:dyDescent="0.25">
      <c r="A132" s="25">
        <v>7</v>
      </c>
      <c r="B132" s="26" t="str">
        <f>IFERROR(INDEX('Gäster'!$A$2:$A$301,MATCH("9-7",'Gäster'!$O$2:$O$301,0))&amp;" "&amp;INDEX('Gäster'!$B$2:$B$301,MATCH("9-7",'Gäster'!$O$2:$O$301,0)),"")</f>
        <v/>
      </c>
    </row>
    <row r="133" ht="22" customHeight="1" spans="1:2" x14ac:dyDescent="0.25">
      <c r="A133" s="25">
        <v>8</v>
      </c>
      <c r="B133" s="26" t="str">
        <f>IFERROR(INDEX('Gäster'!$A$2:$A$301,MATCH("9-8",'Gäster'!$O$2:$O$301,0))&amp;" "&amp;INDEX('Gäster'!$B$2:$B$301,MATCH("9-8",'Gäster'!$O$2:$O$301,0)),"")</f>
        <v/>
      </c>
    </row>
    <row r="134" ht="22" customHeight="1" spans="1:2" x14ac:dyDescent="0.25">
      <c r="A134" s="25">
        <v>9</v>
      </c>
      <c r="B134" s="26" t="str">
        <f>IFERROR(INDEX('Gäster'!$A$2:$A$301,MATCH("9-9",'Gäster'!$O$2:$O$301,0))&amp;" "&amp;INDEX('Gäster'!$B$2:$B$301,MATCH("9-9",'Gäster'!$O$2:$O$301,0)),"")</f>
        <v/>
      </c>
    </row>
    <row r="135" ht="22" customHeight="1" spans="1:2" x14ac:dyDescent="0.25">
      <c r="A135" s="25">
        <v>10</v>
      </c>
      <c r="B135" s="26" t="str">
        <f>IFERROR(INDEX('Gäster'!$A$2:$A$301,MATCH("9-10",'Gäster'!$O$2:$O$301,0))&amp;" "&amp;INDEX('Gäster'!$B$2:$B$301,MATCH("9-10",'Gäster'!$O$2:$O$301,0)),"")</f>
        <v/>
      </c>
    </row>
    <row r="136" ht="22" customHeight="1" spans="1:2" x14ac:dyDescent="0.25">
      <c r="A136" s="25">
        <v>11</v>
      </c>
      <c r="B136" s="26" t="str">
        <f>IFERROR(INDEX('Gäster'!$A$2:$A$301,MATCH("9-11",'Gäster'!$O$2:$O$301,0))&amp;" "&amp;INDEX('Gäster'!$B$2:$B$301,MATCH("9-11",'Gäster'!$O$2:$O$301,0)),"")</f>
        <v/>
      </c>
    </row>
    <row r="137" ht="22" customHeight="1" spans="1:2" x14ac:dyDescent="0.25">
      <c r="A137" s="25">
        <v>12</v>
      </c>
      <c r="B137" s="26" t="str">
        <f>IFERROR(INDEX('Gäster'!$A$2:$A$301,MATCH("9-12",'Gäster'!$O$2:$O$301,0))&amp;" "&amp;INDEX('Gäster'!$B$2:$B$301,MATCH("9-12",'Gäster'!$O$2:$O$301,0)),"")</f>
        <v/>
      </c>
    </row>
    <row r="139" ht="26" customHeight="1" spans="1:2" x14ac:dyDescent="0.25">
      <c r="A139" s="23" t="s">
        <v>86</v>
      </c>
      <c r="B139" s="24" t="str">
        <f>IFERROR(IF(INDEX('Bord'!$B$2:$B$31,MATCH(10,'Bord'!$A$2:$A$31,0))&amp;""="Bord 10","",INDEX('Bord'!$B$2:$B$31,MATCH(10,'Bord'!$A$2:$A$31,0))&amp;""),"")</f>
        <v/>
      </c>
    </row>
    <row r="140" spans="1:2" x14ac:dyDescent="0.25">
      <c r="A140" s="11" t="s">
        <v>38</v>
      </c>
      <c r="B140" s="11" t="s">
        <v>92</v>
      </c>
    </row>
    <row r="141" ht="22" customHeight="1" spans="1:2" x14ac:dyDescent="0.25">
      <c r="A141" s="25">
        <v>1</v>
      </c>
      <c r="B141" s="26" t="str">
        <f>IFERROR(INDEX('Gäster'!$A$2:$A$301,MATCH("10-1",'Gäster'!$O$2:$O$301,0))&amp;" "&amp;INDEX('Gäster'!$B$2:$B$301,MATCH("10-1",'Gäster'!$O$2:$O$301,0)),"")</f>
        <v/>
      </c>
    </row>
    <row r="142" ht="22" customHeight="1" spans="1:2" x14ac:dyDescent="0.25">
      <c r="A142" s="25">
        <v>2</v>
      </c>
      <c r="B142" s="26" t="str">
        <f>IFERROR(INDEX('Gäster'!$A$2:$A$301,MATCH("10-2",'Gäster'!$O$2:$O$301,0))&amp;" "&amp;INDEX('Gäster'!$B$2:$B$301,MATCH("10-2",'Gäster'!$O$2:$O$301,0)),"")</f>
        <v/>
      </c>
    </row>
    <row r="143" ht="22" customHeight="1" spans="1:2" x14ac:dyDescent="0.25">
      <c r="A143" s="25">
        <v>3</v>
      </c>
      <c r="B143" s="26" t="str">
        <f>IFERROR(INDEX('Gäster'!$A$2:$A$301,MATCH("10-3",'Gäster'!$O$2:$O$301,0))&amp;" "&amp;INDEX('Gäster'!$B$2:$B$301,MATCH("10-3",'Gäster'!$O$2:$O$301,0)),"")</f>
        <v/>
      </c>
    </row>
    <row r="144" ht="22" customHeight="1" spans="1:2" x14ac:dyDescent="0.25">
      <c r="A144" s="25">
        <v>4</v>
      </c>
      <c r="B144" s="26" t="str">
        <f>IFERROR(INDEX('Gäster'!$A$2:$A$301,MATCH("10-4",'Gäster'!$O$2:$O$301,0))&amp;" "&amp;INDEX('Gäster'!$B$2:$B$301,MATCH("10-4",'Gäster'!$O$2:$O$301,0)),"")</f>
        <v/>
      </c>
    </row>
    <row r="145" ht="22" customHeight="1" spans="1:2" x14ac:dyDescent="0.25">
      <c r="A145" s="25">
        <v>5</v>
      </c>
      <c r="B145" s="26" t="str">
        <f>IFERROR(INDEX('Gäster'!$A$2:$A$301,MATCH("10-5",'Gäster'!$O$2:$O$301,0))&amp;" "&amp;INDEX('Gäster'!$B$2:$B$301,MATCH("10-5",'Gäster'!$O$2:$O$301,0)),"")</f>
        <v/>
      </c>
    </row>
    <row r="146" ht="22" customHeight="1" spans="1:2" x14ac:dyDescent="0.25">
      <c r="A146" s="25">
        <v>6</v>
      </c>
      <c r="B146" s="26" t="str">
        <f>IFERROR(INDEX('Gäster'!$A$2:$A$301,MATCH("10-6",'Gäster'!$O$2:$O$301,0))&amp;" "&amp;INDEX('Gäster'!$B$2:$B$301,MATCH("10-6",'Gäster'!$O$2:$O$301,0)),"")</f>
        <v/>
      </c>
    </row>
    <row r="147" ht="22" customHeight="1" spans="1:2" x14ac:dyDescent="0.25">
      <c r="A147" s="25">
        <v>7</v>
      </c>
      <c r="B147" s="26" t="str">
        <f>IFERROR(INDEX('Gäster'!$A$2:$A$301,MATCH("10-7",'Gäster'!$O$2:$O$301,0))&amp;" "&amp;INDEX('Gäster'!$B$2:$B$301,MATCH("10-7",'Gäster'!$O$2:$O$301,0)),"")</f>
        <v/>
      </c>
    </row>
    <row r="148" ht="22" customHeight="1" spans="1:2" x14ac:dyDescent="0.25">
      <c r="A148" s="25">
        <v>8</v>
      </c>
      <c r="B148" s="26" t="str">
        <f>IFERROR(INDEX('Gäster'!$A$2:$A$301,MATCH("10-8",'Gäster'!$O$2:$O$301,0))&amp;" "&amp;INDEX('Gäster'!$B$2:$B$301,MATCH("10-8",'Gäster'!$O$2:$O$301,0)),"")</f>
        <v/>
      </c>
    </row>
    <row r="149" ht="22" customHeight="1" spans="1:2" x14ac:dyDescent="0.25">
      <c r="A149" s="25">
        <v>9</v>
      </c>
      <c r="B149" s="26" t="str">
        <f>IFERROR(INDEX('Gäster'!$A$2:$A$301,MATCH("10-9",'Gäster'!$O$2:$O$301,0))&amp;" "&amp;INDEX('Gäster'!$B$2:$B$301,MATCH("10-9",'Gäster'!$O$2:$O$301,0)),"")</f>
        <v/>
      </c>
    </row>
    <row r="150" ht="22" customHeight="1" spans="1:2" x14ac:dyDescent="0.25">
      <c r="A150" s="25">
        <v>10</v>
      </c>
      <c r="B150" s="26" t="str">
        <f>IFERROR(INDEX('Gäster'!$A$2:$A$301,MATCH("10-10",'Gäster'!$O$2:$O$301,0))&amp;" "&amp;INDEX('Gäster'!$B$2:$B$301,MATCH("10-10",'Gäster'!$O$2:$O$301,0)),"")</f>
        <v/>
      </c>
    </row>
    <row r="151" ht="22" customHeight="1" spans="1:2" x14ac:dyDescent="0.25">
      <c r="A151" s="25">
        <v>11</v>
      </c>
      <c r="B151" s="26" t="str">
        <f>IFERROR(INDEX('Gäster'!$A$2:$A$301,MATCH("10-11",'Gäster'!$O$2:$O$301,0))&amp;" "&amp;INDEX('Gäster'!$B$2:$B$301,MATCH("10-11",'Gäster'!$O$2:$O$301,0)),"")</f>
        <v/>
      </c>
    </row>
    <row r="152" ht="22" customHeight="1" spans="1:2" x14ac:dyDescent="0.25">
      <c r="A152" s="25">
        <v>12</v>
      </c>
      <c r="B152" s="26" t="str">
        <f>IFERROR(INDEX('Gäster'!$A$2:$A$301,MATCH("10-12",'Gäster'!$O$2:$O$301,0))&amp;" "&amp;INDEX('Gäster'!$B$2:$B$301,MATCH("10-12",'Gäster'!$O$2:$O$301,0)),"")</f>
        <v/>
      </c>
    </row>
  </sheetData>
  <pageMargins left="0.5" right="0.5" top="0.6" bottom="0.6" header="0.3" footer="0.3"/>
  <pageSetup paperSize="9" orientation="portrait" horizontalDpi="4294967295" verticalDpi="4294967295" scale="100" fitToWidth="1" fitToHeight="1"/>
  <rowBreaks count="9" manualBreakCount="9">
    <brk id="17" max="16838" man="1"/>
    <brk id="32" max="16838" man="1"/>
    <brk id="47" max="16838" man="1"/>
    <brk id="62" max="16838" man="1"/>
    <brk id="77" max="16838" man="1"/>
    <brk id="92" max="16838" man="1"/>
    <brk id="107" max="16838" man="1"/>
    <brk id="122" max="16838" man="1"/>
    <brk id="137" max="1683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workbookViewId="0">
      <pane ySplit="1" topLeftCell="A2" activePane="bottomLeft" state="frozen"/>
      <selection pane="bottomLeft" activeCell="A2" sqref="A2"/>
    </sheetView>
  </sheetViews>
  <sheetFormatPr defaultRowHeight="15" outlineLevelRow="0" outlineLevelCol="0" x14ac:dyDescent="55"/>
  <cols>
    <col min="1" max="1" width="7" customWidth="1"/>
    <col min="2" max="2" width="18" customWidth="1"/>
    <col min="3" max="10" width="15" customWidth="1"/>
  </cols>
  <sheetData>
    <row r="1" ht="30" customHeight="1" spans="1:10" x14ac:dyDescent="0.25">
      <c r="A1" s="27" t="s">
        <v>37</v>
      </c>
      <c r="B1" s="27" t="s">
        <v>68</v>
      </c>
      <c r="C1" s="28" t="s">
        <v>65</v>
      </c>
      <c r="D1" s="28" t="s">
        <v>93</v>
      </c>
      <c r="E1" s="28" t="s">
        <v>49</v>
      </c>
      <c r="F1" s="28" t="s">
        <v>59</v>
      </c>
      <c r="G1" s="28" t="s">
        <v>94</v>
      </c>
      <c r="H1" s="28" t="s">
        <v>95</v>
      </c>
      <c r="I1" s="28" t="s">
        <v>96</v>
      </c>
      <c r="J1" s="28" t="s">
        <v>97</v>
      </c>
    </row>
    <row r="2" spans="1:10" x14ac:dyDescent="0.25">
      <c r="A2" s="17">
        <f>IF('Bord'!$A2="","",'Bord'!$A2)</f>
        <v>1</v>
      </c>
      <c r="B2" s="15" t="str">
        <f>IF('Bord'!$A2="","",'Bord'!$B2&amp;"")</f>
        <v>Bord 1</v>
      </c>
      <c r="C2" s="17">
        <f>IF($A2="","",COUNTIFS('Gäster'!$L$2:$L$301,$A2,'Gäster'!$H$2:$H$301,"Vegetarisk"))</f>
        <v>0</v>
      </c>
      <c r="D2" s="17">
        <f>IF($A2="","",COUNTIFS('Gäster'!$L$2:$L$301,$A2,'Gäster'!$H$2:$H$301,"Vegansk"))</f>
        <v>0</v>
      </c>
      <c r="E2" s="17">
        <f>IF($A2="","",COUNTIFS('Gäster'!$L$2:$L$301,$A2,'Gäster'!$H$2:$H$301,"Glutenfri"))</f>
        <v>1</v>
      </c>
      <c r="F2" s="17">
        <f>IF($A2="","",COUNTIFS('Gäster'!$L$2:$L$301,$A2,'Gäster'!$H$2:$H$301,"Laktosfri"))</f>
        <v>1</v>
      </c>
      <c r="G2" s="17">
        <f>IF($A2="","",COUNTIFS('Gäster'!$L$2:$L$301,$A2,'Gäster'!$H$2:$H$301,"Nötallergi"))</f>
        <v>0</v>
      </c>
      <c r="H2" s="17">
        <f>IF($A2="","",COUNTIFS('Gäster'!$L$2:$L$301,$A2,'Gäster'!$H$2:$H$301,"Skaldjursallergi"))</f>
        <v>0</v>
      </c>
      <c r="I2" s="17">
        <f>IF($A2="","",COUNTIFS('Gäster'!$L$2:$L$301,$A2,'Gäster'!$H$2:$H$301,"Annat"))</f>
        <v>0</v>
      </c>
      <c r="J2" s="17">
        <f>IF($A2="","",COUNTIFS('Gäster'!$L$2:$L$301,$A2,'Gäster'!$H$2:$H$301,"&lt;&gt;")-(C2+D2+E2+F2+G2+H2+I2))</f>
        <v>0</v>
      </c>
    </row>
    <row r="3" spans="1:10" x14ac:dyDescent="0.25">
      <c r="A3" s="17">
        <f>IF('Bord'!$A3="","",'Bord'!$A3)</f>
        <v>2</v>
      </c>
      <c r="B3" s="15" t="str">
        <f>IF('Bord'!$A3="","",'Bord'!$B3&amp;"")</f>
        <v>Bord 2</v>
      </c>
      <c r="C3" s="17">
        <f>IF($A3="","",COUNTIFS('Gäster'!$L$2:$L$301,$A3,'Gäster'!$H$2:$H$301,"Vegetarisk"))</f>
        <v>1</v>
      </c>
      <c r="D3" s="17">
        <f>IF($A3="","",COUNTIFS('Gäster'!$L$2:$L$301,$A3,'Gäster'!$H$2:$H$301,"Vegansk"))</f>
        <v>0</v>
      </c>
      <c r="E3" s="17">
        <f>IF($A3="","",COUNTIFS('Gäster'!$L$2:$L$301,$A3,'Gäster'!$H$2:$H$301,"Glutenfri"))</f>
        <v>0</v>
      </c>
      <c r="F3" s="17">
        <f>IF($A3="","",COUNTIFS('Gäster'!$L$2:$L$301,$A3,'Gäster'!$H$2:$H$301,"Laktosfri"))</f>
        <v>0</v>
      </c>
      <c r="G3" s="17">
        <f>IF($A3="","",COUNTIFS('Gäster'!$L$2:$L$301,$A3,'Gäster'!$H$2:$H$301,"Nötallergi"))</f>
        <v>0</v>
      </c>
      <c r="H3" s="17">
        <f>IF($A3="","",COUNTIFS('Gäster'!$L$2:$L$301,$A3,'Gäster'!$H$2:$H$301,"Skaldjursallergi"))</f>
        <v>0</v>
      </c>
      <c r="I3" s="17">
        <f>IF($A3="","",COUNTIFS('Gäster'!$L$2:$L$301,$A3,'Gäster'!$H$2:$H$301,"Annat"))</f>
        <v>0</v>
      </c>
      <c r="J3" s="17">
        <f>IF($A3="","",COUNTIFS('Gäster'!$L$2:$L$301,$A3,'Gäster'!$H$2:$H$301,"&lt;&gt;")-(C3+D3+E3+F3+G3+H3+I3))</f>
        <v>0</v>
      </c>
    </row>
    <row r="4" spans="1:10" x14ac:dyDescent="0.25">
      <c r="A4" s="17">
        <f>IF('Bord'!$A4="","",'Bord'!$A4)</f>
        <v>3</v>
      </c>
      <c r="B4" s="15" t="str">
        <f>IF('Bord'!$A4="","",'Bord'!$B4&amp;"")</f>
        <v>Bord 3</v>
      </c>
      <c r="C4" s="17">
        <f>IF($A4="","",COUNTIFS('Gäster'!$L$2:$L$301,$A4,'Gäster'!$H$2:$H$301,"Vegetarisk"))</f>
        <v>0</v>
      </c>
      <c r="D4" s="17">
        <f>IF($A4="","",COUNTIFS('Gäster'!$L$2:$L$301,$A4,'Gäster'!$H$2:$H$301,"Vegansk"))</f>
        <v>0</v>
      </c>
      <c r="E4" s="17">
        <f>IF($A4="","",COUNTIFS('Gäster'!$L$2:$L$301,$A4,'Gäster'!$H$2:$H$301,"Glutenfri"))</f>
        <v>0</v>
      </c>
      <c r="F4" s="17">
        <f>IF($A4="","",COUNTIFS('Gäster'!$L$2:$L$301,$A4,'Gäster'!$H$2:$H$301,"Laktosfri"))</f>
        <v>0</v>
      </c>
      <c r="G4" s="17">
        <f>IF($A4="","",COUNTIFS('Gäster'!$L$2:$L$301,$A4,'Gäster'!$H$2:$H$301,"Nötallergi"))</f>
        <v>0</v>
      </c>
      <c r="H4" s="17">
        <f>IF($A4="","",COUNTIFS('Gäster'!$L$2:$L$301,$A4,'Gäster'!$H$2:$H$301,"Skaldjursallergi"))</f>
        <v>0</v>
      </c>
      <c r="I4" s="17">
        <f>IF($A4="","",COUNTIFS('Gäster'!$L$2:$L$301,$A4,'Gäster'!$H$2:$H$301,"Annat"))</f>
        <v>0</v>
      </c>
      <c r="J4" s="17">
        <f>IF($A4="","",COUNTIFS('Gäster'!$L$2:$L$301,$A4,'Gäster'!$H$2:$H$301,"&lt;&gt;")-(C4+D4+E4+F4+G4+H4+I4))</f>
        <v>0</v>
      </c>
    </row>
    <row r="5" spans="1:10" x14ac:dyDescent="0.25">
      <c r="A5" s="17">
        <f>IF('Bord'!$A5="","",'Bord'!$A5)</f>
        <v>4</v>
      </c>
      <c r="B5" s="15" t="str">
        <f>IF('Bord'!$A5="","",'Bord'!$B5&amp;"")</f>
        <v>Bord 4</v>
      </c>
      <c r="C5" s="17">
        <f>IF($A5="","",COUNTIFS('Gäster'!$L$2:$L$301,$A5,'Gäster'!$H$2:$H$301,"Vegetarisk"))</f>
        <v>0</v>
      </c>
      <c r="D5" s="17">
        <f>IF($A5="","",COUNTIFS('Gäster'!$L$2:$L$301,$A5,'Gäster'!$H$2:$H$301,"Vegansk"))</f>
        <v>0</v>
      </c>
      <c r="E5" s="17">
        <f>IF($A5="","",COUNTIFS('Gäster'!$L$2:$L$301,$A5,'Gäster'!$H$2:$H$301,"Glutenfri"))</f>
        <v>0</v>
      </c>
      <c r="F5" s="17">
        <f>IF($A5="","",COUNTIFS('Gäster'!$L$2:$L$301,$A5,'Gäster'!$H$2:$H$301,"Laktosfri"))</f>
        <v>0</v>
      </c>
      <c r="G5" s="17">
        <f>IF($A5="","",COUNTIFS('Gäster'!$L$2:$L$301,$A5,'Gäster'!$H$2:$H$301,"Nötallergi"))</f>
        <v>0</v>
      </c>
      <c r="H5" s="17">
        <f>IF($A5="","",COUNTIFS('Gäster'!$L$2:$L$301,$A5,'Gäster'!$H$2:$H$301,"Skaldjursallergi"))</f>
        <v>0</v>
      </c>
      <c r="I5" s="17">
        <f>IF($A5="","",COUNTIFS('Gäster'!$L$2:$L$301,$A5,'Gäster'!$H$2:$H$301,"Annat"))</f>
        <v>0</v>
      </c>
      <c r="J5" s="17">
        <f>IF($A5="","",COUNTIFS('Gäster'!$L$2:$L$301,$A5,'Gäster'!$H$2:$H$301,"&lt;&gt;")-(C5+D5+E5+F5+G5+H5+I5))</f>
        <v>0</v>
      </c>
    </row>
    <row r="6" spans="1:10" x14ac:dyDescent="0.25">
      <c r="A6" s="17">
        <f>IF('Bord'!$A6="","",'Bord'!$A6)</f>
        <v>5</v>
      </c>
      <c r="B6" s="15" t="str">
        <f>IF('Bord'!$A6="","",'Bord'!$B6&amp;"")</f>
        <v>Bord 5</v>
      </c>
      <c r="C6" s="17">
        <f>IF($A6="","",COUNTIFS('Gäster'!$L$2:$L$301,$A6,'Gäster'!$H$2:$H$301,"Vegetarisk"))</f>
        <v>0</v>
      </c>
      <c r="D6" s="17">
        <f>IF($A6="","",COUNTIFS('Gäster'!$L$2:$L$301,$A6,'Gäster'!$H$2:$H$301,"Vegansk"))</f>
        <v>0</v>
      </c>
      <c r="E6" s="17">
        <f>IF($A6="","",COUNTIFS('Gäster'!$L$2:$L$301,$A6,'Gäster'!$H$2:$H$301,"Glutenfri"))</f>
        <v>0</v>
      </c>
      <c r="F6" s="17">
        <f>IF($A6="","",COUNTIFS('Gäster'!$L$2:$L$301,$A6,'Gäster'!$H$2:$H$301,"Laktosfri"))</f>
        <v>0</v>
      </c>
      <c r="G6" s="17">
        <f>IF($A6="","",COUNTIFS('Gäster'!$L$2:$L$301,$A6,'Gäster'!$H$2:$H$301,"Nötallergi"))</f>
        <v>0</v>
      </c>
      <c r="H6" s="17">
        <f>IF($A6="","",COUNTIFS('Gäster'!$L$2:$L$301,$A6,'Gäster'!$H$2:$H$301,"Skaldjursallergi"))</f>
        <v>0</v>
      </c>
      <c r="I6" s="17">
        <f>IF($A6="","",COUNTIFS('Gäster'!$L$2:$L$301,$A6,'Gäster'!$H$2:$H$301,"Annat"))</f>
        <v>0</v>
      </c>
      <c r="J6" s="17">
        <f>IF($A6="","",COUNTIFS('Gäster'!$L$2:$L$301,$A6,'Gäster'!$H$2:$H$301,"&lt;&gt;")-(C6+D6+E6+F6+G6+H6+I6))</f>
        <v>0</v>
      </c>
    </row>
    <row r="7" spans="1:10" x14ac:dyDescent="0.25">
      <c r="A7" s="17">
        <f>IF('Bord'!$A7="","",'Bord'!$A7)</f>
        <v>6</v>
      </c>
      <c r="B7" s="15" t="str">
        <f>IF('Bord'!$A7="","",'Bord'!$B7&amp;"")</f>
        <v>Bord 6</v>
      </c>
      <c r="C7" s="17">
        <f>IF($A7="","",COUNTIFS('Gäster'!$L$2:$L$301,$A7,'Gäster'!$H$2:$H$301,"Vegetarisk"))</f>
        <v>0</v>
      </c>
      <c r="D7" s="17">
        <f>IF($A7="","",COUNTIFS('Gäster'!$L$2:$L$301,$A7,'Gäster'!$H$2:$H$301,"Vegansk"))</f>
        <v>0</v>
      </c>
      <c r="E7" s="17">
        <f>IF($A7="","",COUNTIFS('Gäster'!$L$2:$L$301,$A7,'Gäster'!$H$2:$H$301,"Glutenfri"))</f>
        <v>0</v>
      </c>
      <c r="F7" s="17">
        <f>IF($A7="","",COUNTIFS('Gäster'!$L$2:$L$301,$A7,'Gäster'!$H$2:$H$301,"Laktosfri"))</f>
        <v>0</v>
      </c>
      <c r="G7" s="17">
        <f>IF($A7="","",COUNTIFS('Gäster'!$L$2:$L$301,$A7,'Gäster'!$H$2:$H$301,"Nötallergi"))</f>
        <v>0</v>
      </c>
      <c r="H7" s="17">
        <f>IF($A7="","",COUNTIFS('Gäster'!$L$2:$L$301,$A7,'Gäster'!$H$2:$H$301,"Skaldjursallergi"))</f>
        <v>0</v>
      </c>
      <c r="I7" s="17">
        <f>IF($A7="","",COUNTIFS('Gäster'!$L$2:$L$301,$A7,'Gäster'!$H$2:$H$301,"Annat"))</f>
        <v>0</v>
      </c>
      <c r="J7" s="17">
        <f>IF($A7="","",COUNTIFS('Gäster'!$L$2:$L$301,$A7,'Gäster'!$H$2:$H$301,"&lt;&gt;")-(C7+D7+E7+F7+G7+H7+I7))</f>
        <v>0</v>
      </c>
    </row>
    <row r="8" spans="1:10" x14ac:dyDescent="0.25">
      <c r="A8" s="17">
        <f>IF('Bord'!$A8="","",'Bord'!$A8)</f>
        <v>7</v>
      </c>
      <c r="B8" s="15" t="str">
        <f>IF('Bord'!$A8="","",'Bord'!$B8&amp;"")</f>
        <v>Bord 7</v>
      </c>
      <c r="C8" s="17">
        <f>IF($A8="","",COUNTIFS('Gäster'!$L$2:$L$301,$A8,'Gäster'!$H$2:$H$301,"Vegetarisk"))</f>
        <v>0</v>
      </c>
      <c r="D8" s="17">
        <f>IF($A8="","",COUNTIFS('Gäster'!$L$2:$L$301,$A8,'Gäster'!$H$2:$H$301,"Vegansk"))</f>
        <v>0</v>
      </c>
      <c r="E8" s="17">
        <f>IF($A8="","",COUNTIFS('Gäster'!$L$2:$L$301,$A8,'Gäster'!$H$2:$H$301,"Glutenfri"))</f>
        <v>0</v>
      </c>
      <c r="F8" s="17">
        <f>IF($A8="","",COUNTIFS('Gäster'!$L$2:$L$301,$A8,'Gäster'!$H$2:$H$301,"Laktosfri"))</f>
        <v>0</v>
      </c>
      <c r="G8" s="17">
        <f>IF($A8="","",COUNTIFS('Gäster'!$L$2:$L$301,$A8,'Gäster'!$H$2:$H$301,"Nötallergi"))</f>
        <v>0</v>
      </c>
      <c r="H8" s="17">
        <f>IF($A8="","",COUNTIFS('Gäster'!$L$2:$L$301,$A8,'Gäster'!$H$2:$H$301,"Skaldjursallergi"))</f>
        <v>0</v>
      </c>
      <c r="I8" s="17">
        <f>IF($A8="","",COUNTIFS('Gäster'!$L$2:$L$301,$A8,'Gäster'!$H$2:$H$301,"Annat"))</f>
        <v>0</v>
      </c>
      <c r="J8" s="17">
        <f>IF($A8="","",COUNTIFS('Gäster'!$L$2:$L$301,$A8,'Gäster'!$H$2:$H$301,"&lt;&gt;")-(C8+D8+E8+F8+G8+H8+I8))</f>
        <v>0</v>
      </c>
    </row>
    <row r="9" spans="1:10" x14ac:dyDescent="0.25">
      <c r="A9" s="17">
        <f>IF('Bord'!$A9="","",'Bord'!$A9)</f>
        <v>8</v>
      </c>
      <c r="B9" s="15" t="str">
        <f>IF('Bord'!$A9="","",'Bord'!$B9&amp;"")</f>
        <v>Bord 8</v>
      </c>
      <c r="C9" s="17">
        <f>IF($A9="","",COUNTIFS('Gäster'!$L$2:$L$301,$A9,'Gäster'!$H$2:$H$301,"Vegetarisk"))</f>
        <v>0</v>
      </c>
      <c r="D9" s="17">
        <f>IF($A9="","",COUNTIFS('Gäster'!$L$2:$L$301,$A9,'Gäster'!$H$2:$H$301,"Vegansk"))</f>
        <v>0</v>
      </c>
      <c r="E9" s="17">
        <f>IF($A9="","",COUNTIFS('Gäster'!$L$2:$L$301,$A9,'Gäster'!$H$2:$H$301,"Glutenfri"))</f>
        <v>0</v>
      </c>
      <c r="F9" s="17">
        <f>IF($A9="","",COUNTIFS('Gäster'!$L$2:$L$301,$A9,'Gäster'!$H$2:$H$301,"Laktosfri"))</f>
        <v>0</v>
      </c>
      <c r="G9" s="17">
        <f>IF($A9="","",COUNTIFS('Gäster'!$L$2:$L$301,$A9,'Gäster'!$H$2:$H$301,"Nötallergi"))</f>
        <v>0</v>
      </c>
      <c r="H9" s="17">
        <f>IF($A9="","",COUNTIFS('Gäster'!$L$2:$L$301,$A9,'Gäster'!$H$2:$H$301,"Skaldjursallergi"))</f>
        <v>0</v>
      </c>
      <c r="I9" s="17">
        <f>IF($A9="","",COUNTIFS('Gäster'!$L$2:$L$301,$A9,'Gäster'!$H$2:$H$301,"Annat"))</f>
        <v>0</v>
      </c>
      <c r="J9" s="17">
        <f>IF($A9="","",COUNTIFS('Gäster'!$L$2:$L$301,$A9,'Gäster'!$H$2:$H$301,"&lt;&gt;")-(C9+D9+E9+F9+G9+H9+I9))</f>
        <v>0</v>
      </c>
    </row>
    <row r="10" spans="1:10" x14ac:dyDescent="0.25">
      <c r="A10" s="17">
        <f>IF('Bord'!$A10="","",'Bord'!$A10)</f>
        <v>9</v>
      </c>
      <c r="B10" s="15" t="str">
        <f>IF('Bord'!$A10="","",'Bord'!$B10&amp;"")</f>
        <v>Bord 9</v>
      </c>
      <c r="C10" s="17">
        <f>IF($A10="","",COUNTIFS('Gäster'!$L$2:$L$301,$A10,'Gäster'!$H$2:$H$301,"Vegetarisk"))</f>
        <v>0</v>
      </c>
      <c r="D10" s="17">
        <f>IF($A10="","",COUNTIFS('Gäster'!$L$2:$L$301,$A10,'Gäster'!$H$2:$H$301,"Vegansk"))</f>
        <v>0</v>
      </c>
      <c r="E10" s="17">
        <f>IF($A10="","",COUNTIFS('Gäster'!$L$2:$L$301,$A10,'Gäster'!$H$2:$H$301,"Glutenfri"))</f>
        <v>0</v>
      </c>
      <c r="F10" s="17">
        <f>IF($A10="","",COUNTIFS('Gäster'!$L$2:$L$301,$A10,'Gäster'!$H$2:$H$301,"Laktosfri"))</f>
        <v>0</v>
      </c>
      <c r="G10" s="17">
        <f>IF($A10="","",COUNTIFS('Gäster'!$L$2:$L$301,$A10,'Gäster'!$H$2:$H$301,"Nötallergi"))</f>
        <v>0</v>
      </c>
      <c r="H10" s="17">
        <f>IF($A10="","",COUNTIFS('Gäster'!$L$2:$L$301,$A10,'Gäster'!$H$2:$H$301,"Skaldjursallergi"))</f>
        <v>0</v>
      </c>
      <c r="I10" s="17">
        <f>IF($A10="","",COUNTIFS('Gäster'!$L$2:$L$301,$A10,'Gäster'!$H$2:$H$301,"Annat"))</f>
        <v>0</v>
      </c>
      <c r="J10" s="17">
        <f>IF($A10="","",COUNTIFS('Gäster'!$L$2:$L$301,$A10,'Gäster'!$H$2:$H$301,"&lt;&gt;")-(C10+D10+E10+F10+G10+H10+I10))</f>
        <v>0</v>
      </c>
    </row>
    <row r="11" spans="1:10" x14ac:dyDescent="0.25">
      <c r="A11" s="17">
        <f>IF('Bord'!$A11="","",'Bord'!$A11)</f>
        <v>10</v>
      </c>
      <c r="B11" s="15" t="str">
        <f>IF('Bord'!$A11="","",'Bord'!$B11&amp;"")</f>
        <v>Bord 10</v>
      </c>
      <c r="C11" s="17">
        <f>IF($A11="","",COUNTIFS('Gäster'!$L$2:$L$301,$A11,'Gäster'!$H$2:$H$301,"Vegetarisk"))</f>
        <v>0</v>
      </c>
      <c r="D11" s="17">
        <f>IF($A11="","",COUNTIFS('Gäster'!$L$2:$L$301,$A11,'Gäster'!$H$2:$H$301,"Vegansk"))</f>
        <v>0</v>
      </c>
      <c r="E11" s="17">
        <f>IF($A11="","",COUNTIFS('Gäster'!$L$2:$L$301,$A11,'Gäster'!$H$2:$H$301,"Glutenfri"))</f>
        <v>0</v>
      </c>
      <c r="F11" s="17">
        <f>IF($A11="","",COUNTIFS('Gäster'!$L$2:$L$301,$A11,'Gäster'!$H$2:$H$301,"Laktosfri"))</f>
        <v>0</v>
      </c>
      <c r="G11" s="17">
        <f>IF($A11="","",COUNTIFS('Gäster'!$L$2:$L$301,$A11,'Gäster'!$H$2:$H$301,"Nötallergi"))</f>
        <v>0</v>
      </c>
      <c r="H11" s="17">
        <f>IF($A11="","",COUNTIFS('Gäster'!$L$2:$L$301,$A11,'Gäster'!$H$2:$H$301,"Skaldjursallergi"))</f>
        <v>0</v>
      </c>
      <c r="I11" s="17">
        <f>IF($A11="","",COUNTIFS('Gäster'!$L$2:$L$301,$A11,'Gäster'!$H$2:$H$301,"Annat"))</f>
        <v>0</v>
      </c>
      <c r="J11" s="17">
        <f>IF($A11="","",COUNTIFS('Gäster'!$L$2:$L$301,$A11,'Gäster'!$H$2:$H$301,"&lt;&gt;")-(C11+D11+E11+F11+G11+H11+I11))</f>
        <v>0</v>
      </c>
    </row>
    <row r="12" spans="1:10" x14ac:dyDescent="0.25">
      <c r="A12" s="17" t="str">
        <f>IF('Bord'!$A12="","",'Bord'!$A12)</f>
        <v/>
      </c>
      <c r="B12" s="15" t="str">
        <f>IF('Bord'!$A12="","",'Bord'!$B12&amp;"")</f>
        <v/>
      </c>
      <c r="C12" s="17" t="str">
        <f>IF($A12="","",COUNTIFS('Gäster'!$L$2:$L$301,$A12,'Gäster'!$H$2:$H$301,"Vegetarisk"))</f>
        <v/>
      </c>
      <c r="D12" s="17" t="str">
        <f>IF($A12="","",COUNTIFS('Gäster'!$L$2:$L$301,$A12,'Gäster'!$H$2:$H$301,"Vegansk"))</f>
        <v/>
      </c>
      <c r="E12" s="17" t="str">
        <f>IF($A12="","",COUNTIFS('Gäster'!$L$2:$L$301,$A12,'Gäster'!$H$2:$H$301,"Glutenfri"))</f>
        <v/>
      </c>
      <c r="F12" s="17" t="str">
        <f>IF($A12="","",COUNTIFS('Gäster'!$L$2:$L$301,$A12,'Gäster'!$H$2:$H$301,"Laktosfri"))</f>
        <v/>
      </c>
      <c r="G12" s="17" t="str">
        <f>IF($A12="","",COUNTIFS('Gäster'!$L$2:$L$301,$A12,'Gäster'!$H$2:$H$301,"Nötallergi"))</f>
        <v/>
      </c>
      <c r="H12" s="17" t="str">
        <f>IF($A12="","",COUNTIFS('Gäster'!$L$2:$L$301,$A12,'Gäster'!$H$2:$H$301,"Skaldjursallergi"))</f>
        <v/>
      </c>
      <c r="I12" s="17" t="str">
        <f>IF($A12="","",COUNTIFS('Gäster'!$L$2:$L$301,$A12,'Gäster'!$H$2:$H$301,"Annat"))</f>
        <v/>
      </c>
      <c r="J12" s="17" t="str">
        <f>IF($A12="","",COUNTIFS('Gäster'!$L$2:$L$301,$A12,'Gäster'!$H$2:$H$301,"&lt;&gt;")-(C12+D12+E12+F12+G12+H12+I12))</f>
        <v/>
      </c>
    </row>
    <row r="13" spans="1:10" x14ac:dyDescent="0.25">
      <c r="A13" s="17" t="str">
        <f>IF('Bord'!$A13="","",'Bord'!$A13)</f>
        <v/>
      </c>
      <c r="B13" s="15" t="str">
        <f>IF('Bord'!$A13="","",'Bord'!$B13&amp;"")</f>
        <v/>
      </c>
      <c r="C13" s="17" t="str">
        <f>IF($A13="","",COUNTIFS('Gäster'!$L$2:$L$301,$A13,'Gäster'!$H$2:$H$301,"Vegetarisk"))</f>
        <v/>
      </c>
      <c r="D13" s="17" t="str">
        <f>IF($A13="","",COUNTIFS('Gäster'!$L$2:$L$301,$A13,'Gäster'!$H$2:$H$301,"Vegansk"))</f>
        <v/>
      </c>
      <c r="E13" s="17" t="str">
        <f>IF($A13="","",COUNTIFS('Gäster'!$L$2:$L$301,$A13,'Gäster'!$H$2:$H$301,"Glutenfri"))</f>
        <v/>
      </c>
      <c r="F13" s="17" t="str">
        <f>IF($A13="","",COUNTIFS('Gäster'!$L$2:$L$301,$A13,'Gäster'!$H$2:$H$301,"Laktosfri"))</f>
        <v/>
      </c>
      <c r="G13" s="17" t="str">
        <f>IF($A13="","",COUNTIFS('Gäster'!$L$2:$L$301,$A13,'Gäster'!$H$2:$H$301,"Nötallergi"))</f>
        <v/>
      </c>
      <c r="H13" s="17" t="str">
        <f>IF($A13="","",COUNTIFS('Gäster'!$L$2:$L$301,$A13,'Gäster'!$H$2:$H$301,"Skaldjursallergi"))</f>
        <v/>
      </c>
      <c r="I13" s="17" t="str">
        <f>IF($A13="","",COUNTIFS('Gäster'!$L$2:$L$301,$A13,'Gäster'!$H$2:$H$301,"Annat"))</f>
        <v/>
      </c>
      <c r="J13" s="17" t="str">
        <f>IF($A13="","",COUNTIFS('Gäster'!$L$2:$L$301,$A13,'Gäster'!$H$2:$H$301,"&lt;&gt;")-(C13+D13+E13+F13+G13+H13+I13))</f>
        <v/>
      </c>
    </row>
    <row r="14" spans="1:10" x14ac:dyDescent="0.25">
      <c r="A14" s="17" t="str">
        <f>IF('Bord'!$A14="","",'Bord'!$A14)</f>
        <v/>
      </c>
      <c r="B14" s="15" t="str">
        <f>IF('Bord'!$A14="","",'Bord'!$B14&amp;"")</f>
        <v/>
      </c>
      <c r="C14" s="17" t="str">
        <f>IF($A14="","",COUNTIFS('Gäster'!$L$2:$L$301,$A14,'Gäster'!$H$2:$H$301,"Vegetarisk"))</f>
        <v/>
      </c>
      <c r="D14" s="17" t="str">
        <f>IF($A14="","",COUNTIFS('Gäster'!$L$2:$L$301,$A14,'Gäster'!$H$2:$H$301,"Vegansk"))</f>
        <v/>
      </c>
      <c r="E14" s="17" t="str">
        <f>IF($A14="","",COUNTIFS('Gäster'!$L$2:$L$301,$A14,'Gäster'!$H$2:$H$301,"Glutenfri"))</f>
        <v/>
      </c>
      <c r="F14" s="17" t="str">
        <f>IF($A14="","",COUNTIFS('Gäster'!$L$2:$L$301,$A14,'Gäster'!$H$2:$H$301,"Laktosfri"))</f>
        <v/>
      </c>
      <c r="G14" s="17" t="str">
        <f>IF($A14="","",COUNTIFS('Gäster'!$L$2:$L$301,$A14,'Gäster'!$H$2:$H$301,"Nötallergi"))</f>
        <v/>
      </c>
      <c r="H14" s="17" t="str">
        <f>IF($A14="","",COUNTIFS('Gäster'!$L$2:$L$301,$A14,'Gäster'!$H$2:$H$301,"Skaldjursallergi"))</f>
        <v/>
      </c>
      <c r="I14" s="17" t="str">
        <f>IF($A14="","",COUNTIFS('Gäster'!$L$2:$L$301,$A14,'Gäster'!$H$2:$H$301,"Annat"))</f>
        <v/>
      </c>
      <c r="J14" s="17" t="str">
        <f>IF($A14="","",COUNTIFS('Gäster'!$L$2:$L$301,$A14,'Gäster'!$H$2:$H$301,"&lt;&gt;")-(C14+D14+E14+F14+G14+H14+I14))</f>
        <v/>
      </c>
    </row>
    <row r="15" spans="1:10" x14ac:dyDescent="0.25">
      <c r="A15" s="17" t="str">
        <f>IF('Bord'!$A15="","",'Bord'!$A15)</f>
        <v/>
      </c>
      <c r="B15" s="15" t="str">
        <f>IF('Bord'!$A15="","",'Bord'!$B15&amp;"")</f>
        <v/>
      </c>
      <c r="C15" s="17" t="str">
        <f>IF($A15="","",COUNTIFS('Gäster'!$L$2:$L$301,$A15,'Gäster'!$H$2:$H$301,"Vegetarisk"))</f>
        <v/>
      </c>
      <c r="D15" s="17" t="str">
        <f>IF($A15="","",COUNTIFS('Gäster'!$L$2:$L$301,$A15,'Gäster'!$H$2:$H$301,"Vegansk"))</f>
        <v/>
      </c>
      <c r="E15" s="17" t="str">
        <f>IF($A15="","",COUNTIFS('Gäster'!$L$2:$L$301,$A15,'Gäster'!$H$2:$H$301,"Glutenfri"))</f>
        <v/>
      </c>
      <c r="F15" s="17" t="str">
        <f>IF($A15="","",COUNTIFS('Gäster'!$L$2:$L$301,$A15,'Gäster'!$H$2:$H$301,"Laktosfri"))</f>
        <v/>
      </c>
      <c r="G15" s="17" t="str">
        <f>IF($A15="","",COUNTIFS('Gäster'!$L$2:$L$301,$A15,'Gäster'!$H$2:$H$301,"Nötallergi"))</f>
        <v/>
      </c>
      <c r="H15" s="17" t="str">
        <f>IF($A15="","",COUNTIFS('Gäster'!$L$2:$L$301,$A15,'Gäster'!$H$2:$H$301,"Skaldjursallergi"))</f>
        <v/>
      </c>
      <c r="I15" s="17" t="str">
        <f>IF($A15="","",COUNTIFS('Gäster'!$L$2:$L$301,$A15,'Gäster'!$H$2:$H$301,"Annat"))</f>
        <v/>
      </c>
      <c r="J15" s="17" t="str">
        <f>IF($A15="","",COUNTIFS('Gäster'!$L$2:$L$301,$A15,'Gäster'!$H$2:$H$301,"&lt;&gt;")-(C15+D15+E15+F15+G15+H15+I15))</f>
        <v/>
      </c>
    </row>
    <row r="16" spans="1:10" x14ac:dyDescent="0.25">
      <c r="A16" s="17" t="str">
        <f>IF('Bord'!$A16="","",'Bord'!$A16)</f>
        <v/>
      </c>
      <c r="B16" s="15" t="str">
        <f>IF('Bord'!$A16="","",'Bord'!$B16&amp;"")</f>
        <v/>
      </c>
      <c r="C16" s="17" t="str">
        <f>IF($A16="","",COUNTIFS('Gäster'!$L$2:$L$301,$A16,'Gäster'!$H$2:$H$301,"Vegetarisk"))</f>
        <v/>
      </c>
      <c r="D16" s="17" t="str">
        <f>IF($A16="","",COUNTIFS('Gäster'!$L$2:$L$301,$A16,'Gäster'!$H$2:$H$301,"Vegansk"))</f>
        <v/>
      </c>
      <c r="E16" s="17" t="str">
        <f>IF($A16="","",COUNTIFS('Gäster'!$L$2:$L$301,$A16,'Gäster'!$H$2:$H$301,"Glutenfri"))</f>
        <v/>
      </c>
      <c r="F16" s="17" t="str">
        <f>IF($A16="","",COUNTIFS('Gäster'!$L$2:$L$301,$A16,'Gäster'!$H$2:$H$301,"Laktosfri"))</f>
        <v/>
      </c>
      <c r="G16" s="17" t="str">
        <f>IF($A16="","",COUNTIFS('Gäster'!$L$2:$L$301,$A16,'Gäster'!$H$2:$H$301,"Nötallergi"))</f>
        <v/>
      </c>
      <c r="H16" s="17" t="str">
        <f>IF($A16="","",COUNTIFS('Gäster'!$L$2:$L$301,$A16,'Gäster'!$H$2:$H$301,"Skaldjursallergi"))</f>
        <v/>
      </c>
      <c r="I16" s="17" t="str">
        <f>IF($A16="","",COUNTIFS('Gäster'!$L$2:$L$301,$A16,'Gäster'!$H$2:$H$301,"Annat"))</f>
        <v/>
      </c>
      <c r="J16" s="17" t="str">
        <f>IF($A16="","",COUNTIFS('Gäster'!$L$2:$L$301,$A16,'Gäster'!$H$2:$H$301,"&lt;&gt;")-(C16+D16+E16+F16+G16+H16+I16))</f>
        <v/>
      </c>
    </row>
    <row r="17" spans="1:10" x14ac:dyDescent="0.25">
      <c r="A17" s="17" t="str">
        <f>IF('Bord'!$A17="","",'Bord'!$A17)</f>
        <v/>
      </c>
      <c r="B17" s="15" t="str">
        <f>IF('Bord'!$A17="","",'Bord'!$B17&amp;"")</f>
        <v/>
      </c>
      <c r="C17" s="17" t="str">
        <f>IF($A17="","",COUNTIFS('Gäster'!$L$2:$L$301,$A17,'Gäster'!$H$2:$H$301,"Vegetarisk"))</f>
        <v/>
      </c>
      <c r="D17" s="17" t="str">
        <f>IF($A17="","",COUNTIFS('Gäster'!$L$2:$L$301,$A17,'Gäster'!$H$2:$H$301,"Vegansk"))</f>
        <v/>
      </c>
      <c r="E17" s="17" t="str">
        <f>IF($A17="","",COUNTIFS('Gäster'!$L$2:$L$301,$A17,'Gäster'!$H$2:$H$301,"Glutenfri"))</f>
        <v/>
      </c>
      <c r="F17" s="17" t="str">
        <f>IF($A17="","",COUNTIFS('Gäster'!$L$2:$L$301,$A17,'Gäster'!$H$2:$H$301,"Laktosfri"))</f>
        <v/>
      </c>
      <c r="G17" s="17" t="str">
        <f>IF($A17="","",COUNTIFS('Gäster'!$L$2:$L$301,$A17,'Gäster'!$H$2:$H$301,"Nötallergi"))</f>
        <v/>
      </c>
      <c r="H17" s="17" t="str">
        <f>IF($A17="","",COUNTIFS('Gäster'!$L$2:$L$301,$A17,'Gäster'!$H$2:$H$301,"Skaldjursallergi"))</f>
        <v/>
      </c>
      <c r="I17" s="17" t="str">
        <f>IF($A17="","",COUNTIFS('Gäster'!$L$2:$L$301,$A17,'Gäster'!$H$2:$H$301,"Annat"))</f>
        <v/>
      </c>
      <c r="J17" s="17" t="str">
        <f>IF($A17="","",COUNTIFS('Gäster'!$L$2:$L$301,$A17,'Gäster'!$H$2:$H$301,"&lt;&gt;")-(C17+D17+E17+F17+G17+H17+I17))</f>
        <v/>
      </c>
    </row>
    <row r="18" spans="1:10" x14ac:dyDescent="0.25">
      <c r="A18" s="17" t="str">
        <f>IF('Bord'!$A18="","",'Bord'!$A18)</f>
        <v/>
      </c>
      <c r="B18" s="15" t="str">
        <f>IF('Bord'!$A18="","",'Bord'!$B18&amp;"")</f>
        <v/>
      </c>
      <c r="C18" s="17" t="str">
        <f>IF($A18="","",COUNTIFS('Gäster'!$L$2:$L$301,$A18,'Gäster'!$H$2:$H$301,"Vegetarisk"))</f>
        <v/>
      </c>
      <c r="D18" s="17" t="str">
        <f>IF($A18="","",COUNTIFS('Gäster'!$L$2:$L$301,$A18,'Gäster'!$H$2:$H$301,"Vegansk"))</f>
        <v/>
      </c>
      <c r="E18" s="17" t="str">
        <f>IF($A18="","",COUNTIFS('Gäster'!$L$2:$L$301,$A18,'Gäster'!$H$2:$H$301,"Glutenfri"))</f>
        <v/>
      </c>
      <c r="F18" s="17" t="str">
        <f>IF($A18="","",COUNTIFS('Gäster'!$L$2:$L$301,$A18,'Gäster'!$H$2:$H$301,"Laktosfri"))</f>
        <v/>
      </c>
      <c r="G18" s="17" t="str">
        <f>IF($A18="","",COUNTIFS('Gäster'!$L$2:$L$301,$A18,'Gäster'!$H$2:$H$301,"Nötallergi"))</f>
        <v/>
      </c>
      <c r="H18" s="17" t="str">
        <f>IF($A18="","",COUNTIFS('Gäster'!$L$2:$L$301,$A18,'Gäster'!$H$2:$H$301,"Skaldjursallergi"))</f>
        <v/>
      </c>
      <c r="I18" s="17" t="str">
        <f>IF($A18="","",COUNTIFS('Gäster'!$L$2:$L$301,$A18,'Gäster'!$H$2:$H$301,"Annat"))</f>
        <v/>
      </c>
      <c r="J18" s="17" t="str">
        <f>IF($A18="","",COUNTIFS('Gäster'!$L$2:$L$301,$A18,'Gäster'!$H$2:$H$301,"&lt;&gt;")-(C18+D18+E18+F18+G18+H18+I18))</f>
        <v/>
      </c>
    </row>
    <row r="19" spans="1:10" x14ac:dyDescent="0.25">
      <c r="A19" s="17" t="str">
        <f>IF('Bord'!$A19="","",'Bord'!$A19)</f>
        <v/>
      </c>
      <c r="B19" s="15" t="str">
        <f>IF('Bord'!$A19="","",'Bord'!$B19&amp;"")</f>
        <v/>
      </c>
      <c r="C19" s="17" t="str">
        <f>IF($A19="","",COUNTIFS('Gäster'!$L$2:$L$301,$A19,'Gäster'!$H$2:$H$301,"Vegetarisk"))</f>
        <v/>
      </c>
      <c r="D19" s="17" t="str">
        <f>IF($A19="","",COUNTIFS('Gäster'!$L$2:$L$301,$A19,'Gäster'!$H$2:$H$301,"Vegansk"))</f>
        <v/>
      </c>
      <c r="E19" s="17" t="str">
        <f>IF($A19="","",COUNTIFS('Gäster'!$L$2:$L$301,$A19,'Gäster'!$H$2:$H$301,"Glutenfri"))</f>
        <v/>
      </c>
      <c r="F19" s="17" t="str">
        <f>IF($A19="","",COUNTIFS('Gäster'!$L$2:$L$301,$A19,'Gäster'!$H$2:$H$301,"Laktosfri"))</f>
        <v/>
      </c>
      <c r="G19" s="17" t="str">
        <f>IF($A19="","",COUNTIFS('Gäster'!$L$2:$L$301,$A19,'Gäster'!$H$2:$H$301,"Nötallergi"))</f>
        <v/>
      </c>
      <c r="H19" s="17" t="str">
        <f>IF($A19="","",COUNTIFS('Gäster'!$L$2:$L$301,$A19,'Gäster'!$H$2:$H$301,"Skaldjursallergi"))</f>
        <v/>
      </c>
      <c r="I19" s="17" t="str">
        <f>IF($A19="","",COUNTIFS('Gäster'!$L$2:$L$301,$A19,'Gäster'!$H$2:$H$301,"Annat"))</f>
        <v/>
      </c>
      <c r="J19" s="17" t="str">
        <f>IF($A19="","",COUNTIFS('Gäster'!$L$2:$L$301,$A19,'Gäster'!$H$2:$H$301,"&lt;&gt;")-(C19+D19+E19+F19+G19+H19+I19))</f>
        <v/>
      </c>
    </row>
    <row r="20" spans="1:10" x14ac:dyDescent="0.25">
      <c r="A20" s="17" t="str">
        <f>IF('Bord'!$A20="","",'Bord'!$A20)</f>
        <v/>
      </c>
      <c r="B20" s="15" t="str">
        <f>IF('Bord'!$A20="","",'Bord'!$B20&amp;"")</f>
        <v/>
      </c>
      <c r="C20" s="17" t="str">
        <f>IF($A20="","",COUNTIFS('Gäster'!$L$2:$L$301,$A20,'Gäster'!$H$2:$H$301,"Vegetarisk"))</f>
        <v/>
      </c>
      <c r="D20" s="17" t="str">
        <f>IF($A20="","",COUNTIFS('Gäster'!$L$2:$L$301,$A20,'Gäster'!$H$2:$H$301,"Vegansk"))</f>
        <v/>
      </c>
      <c r="E20" s="17" t="str">
        <f>IF($A20="","",COUNTIFS('Gäster'!$L$2:$L$301,$A20,'Gäster'!$H$2:$H$301,"Glutenfri"))</f>
        <v/>
      </c>
      <c r="F20" s="17" t="str">
        <f>IF($A20="","",COUNTIFS('Gäster'!$L$2:$L$301,$A20,'Gäster'!$H$2:$H$301,"Laktosfri"))</f>
        <v/>
      </c>
      <c r="G20" s="17" t="str">
        <f>IF($A20="","",COUNTIFS('Gäster'!$L$2:$L$301,$A20,'Gäster'!$H$2:$H$301,"Nötallergi"))</f>
        <v/>
      </c>
      <c r="H20" s="17" t="str">
        <f>IF($A20="","",COUNTIFS('Gäster'!$L$2:$L$301,$A20,'Gäster'!$H$2:$H$301,"Skaldjursallergi"))</f>
        <v/>
      </c>
      <c r="I20" s="17" t="str">
        <f>IF($A20="","",COUNTIFS('Gäster'!$L$2:$L$301,$A20,'Gäster'!$H$2:$H$301,"Annat"))</f>
        <v/>
      </c>
      <c r="J20" s="17" t="str">
        <f>IF($A20="","",COUNTIFS('Gäster'!$L$2:$L$301,$A20,'Gäster'!$H$2:$H$301,"&lt;&gt;")-(C20+D20+E20+F20+G20+H20+I20))</f>
        <v/>
      </c>
    </row>
    <row r="21" spans="1:10" x14ac:dyDescent="0.25">
      <c r="A21" s="17" t="str">
        <f>IF('Bord'!$A21="","",'Bord'!$A21)</f>
        <v/>
      </c>
      <c r="B21" s="15" t="str">
        <f>IF('Bord'!$A21="","",'Bord'!$B21&amp;"")</f>
        <v/>
      </c>
      <c r="C21" s="17" t="str">
        <f>IF($A21="","",COUNTIFS('Gäster'!$L$2:$L$301,$A21,'Gäster'!$H$2:$H$301,"Vegetarisk"))</f>
        <v/>
      </c>
      <c r="D21" s="17" t="str">
        <f>IF($A21="","",COUNTIFS('Gäster'!$L$2:$L$301,$A21,'Gäster'!$H$2:$H$301,"Vegansk"))</f>
        <v/>
      </c>
      <c r="E21" s="17" t="str">
        <f>IF($A21="","",COUNTIFS('Gäster'!$L$2:$L$301,$A21,'Gäster'!$H$2:$H$301,"Glutenfri"))</f>
        <v/>
      </c>
      <c r="F21" s="17" t="str">
        <f>IF($A21="","",COUNTIFS('Gäster'!$L$2:$L$301,$A21,'Gäster'!$H$2:$H$301,"Laktosfri"))</f>
        <v/>
      </c>
      <c r="G21" s="17" t="str">
        <f>IF($A21="","",COUNTIFS('Gäster'!$L$2:$L$301,$A21,'Gäster'!$H$2:$H$301,"Nötallergi"))</f>
        <v/>
      </c>
      <c r="H21" s="17" t="str">
        <f>IF($A21="","",COUNTIFS('Gäster'!$L$2:$L$301,$A21,'Gäster'!$H$2:$H$301,"Skaldjursallergi"))</f>
        <v/>
      </c>
      <c r="I21" s="17" t="str">
        <f>IF($A21="","",COUNTIFS('Gäster'!$L$2:$L$301,$A21,'Gäster'!$H$2:$H$301,"Annat"))</f>
        <v/>
      </c>
      <c r="J21" s="17" t="str">
        <f>IF($A21="","",COUNTIFS('Gäster'!$L$2:$L$301,$A21,'Gäster'!$H$2:$H$301,"&lt;&gt;")-(C21+D21+E21+F21+G21+H21+I21))</f>
        <v/>
      </c>
    </row>
    <row r="22" spans="1:10" x14ac:dyDescent="0.25">
      <c r="A22" s="17" t="str">
        <f>IF('Bord'!$A22="","",'Bord'!$A22)</f>
        <v/>
      </c>
      <c r="B22" s="15" t="str">
        <f>IF('Bord'!$A22="","",'Bord'!$B22&amp;"")</f>
        <v/>
      </c>
      <c r="C22" s="17" t="str">
        <f>IF($A22="","",COUNTIFS('Gäster'!$L$2:$L$301,$A22,'Gäster'!$H$2:$H$301,"Vegetarisk"))</f>
        <v/>
      </c>
      <c r="D22" s="17" t="str">
        <f>IF($A22="","",COUNTIFS('Gäster'!$L$2:$L$301,$A22,'Gäster'!$H$2:$H$301,"Vegansk"))</f>
        <v/>
      </c>
      <c r="E22" s="17" t="str">
        <f>IF($A22="","",COUNTIFS('Gäster'!$L$2:$L$301,$A22,'Gäster'!$H$2:$H$301,"Glutenfri"))</f>
        <v/>
      </c>
      <c r="F22" s="17" t="str">
        <f>IF($A22="","",COUNTIFS('Gäster'!$L$2:$L$301,$A22,'Gäster'!$H$2:$H$301,"Laktosfri"))</f>
        <v/>
      </c>
      <c r="G22" s="17" t="str">
        <f>IF($A22="","",COUNTIFS('Gäster'!$L$2:$L$301,$A22,'Gäster'!$H$2:$H$301,"Nötallergi"))</f>
        <v/>
      </c>
      <c r="H22" s="17" t="str">
        <f>IF($A22="","",COUNTIFS('Gäster'!$L$2:$L$301,$A22,'Gäster'!$H$2:$H$301,"Skaldjursallergi"))</f>
        <v/>
      </c>
      <c r="I22" s="17" t="str">
        <f>IF($A22="","",COUNTIFS('Gäster'!$L$2:$L$301,$A22,'Gäster'!$H$2:$H$301,"Annat"))</f>
        <v/>
      </c>
      <c r="J22" s="17" t="str">
        <f>IF($A22="","",COUNTIFS('Gäster'!$L$2:$L$301,$A22,'Gäster'!$H$2:$H$301,"&lt;&gt;")-(C22+D22+E22+F22+G22+H22+I22))</f>
        <v/>
      </c>
    </row>
    <row r="23" spans="1:10" x14ac:dyDescent="0.25">
      <c r="A23" s="17" t="str">
        <f>IF('Bord'!$A23="","",'Bord'!$A23)</f>
        <v/>
      </c>
      <c r="B23" s="15" t="str">
        <f>IF('Bord'!$A23="","",'Bord'!$B23&amp;"")</f>
        <v/>
      </c>
      <c r="C23" s="17" t="str">
        <f>IF($A23="","",COUNTIFS('Gäster'!$L$2:$L$301,$A23,'Gäster'!$H$2:$H$301,"Vegetarisk"))</f>
        <v/>
      </c>
      <c r="D23" s="17" t="str">
        <f>IF($A23="","",COUNTIFS('Gäster'!$L$2:$L$301,$A23,'Gäster'!$H$2:$H$301,"Vegansk"))</f>
        <v/>
      </c>
      <c r="E23" s="17" t="str">
        <f>IF($A23="","",COUNTIFS('Gäster'!$L$2:$L$301,$A23,'Gäster'!$H$2:$H$301,"Glutenfri"))</f>
        <v/>
      </c>
      <c r="F23" s="17" t="str">
        <f>IF($A23="","",COUNTIFS('Gäster'!$L$2:$L$301,$A23,'Gäster'!$H$2:$H$301,"Laktosfri"))</f>
        <v/>
      </c>
      <c r="G23" s="17" t="str">
        <f>IF($A23="","",COUNTIFS('Gäster'!$L$2:$L$301,$A23,'Gäster'!$H$2:$H$301,"Nötallergi"))</f>
        <v/>
      </c>
      <c r="H23" s="17" t="str">
        <f>IF($A23="","",COUNTIFS('Gäster'!$L$2:$L$301,$A23,'Gäster'!$H$2:$H$301,"Skaldjursallergi"))</f>
        <v/>
      </c>
      <c r="I23" s="17" t="str">
        <f>IF($A23="","",COUNTIFS('Gäster'!$L$2:$L$301,$A23,'Gäster'!$H$2:$H$301,"Annat"))</f>
        <v/>
      </c>
      <c r="J23" s="17" t="str">
        <f>IF($A23="","",COUNTIFS('Gäster'!$L$2:$L$301,$A23,'Gäster'!$H$2:$H$301,"&lt;&gt;")-(C23+D23+E23+F23+G23+H23+I23))</f>
        <v/>
      </c>
    </row>
    <row r="24" spans="1:10" x14ac:dyDescent="0.25">
      <c r="A24" s="17" t="str">
        <f>IF('Bord'!$A24="","",'Bord'!$A24)</f>
        <v/>
      </c>
      <c r="B24" s="15" t="str">
        <f>IF('Bord'!$A24="","",'Bord'!$B24&amp;"")</f>
        <v/>
      </c>
      <c r="C24" s="17" t="str">
        <f>IF($A24="","",COUNTIFS('Gäster'!$L$2:$L$301,$A24,'Gäster'!$H$2:$H$301,"Vegetarisk"))</f>
        <v/>
      </c>
      <c r="D24" s="17" t="str">
        <f>IF($A24="","",COUNTIFS('Gäster'!$L$2:$L$301,$A24,'Gäster'!$H$2:$H$301,"Vegansk"))</f>
        <v/>
      </c>
      <c r="E24" s="17" t="str">
        <f>IF($A24="","",COUNTIFS('Gäster'!$L$2:$L$301,$A24,'Gäster'!$H$2:$H$301,"Glutenfri"))</f>
        <v/>
      </c>
      <c r="F24" s="17" t="str">
        <f>IF($A24="","",COUNTIFS('Gäster'!$L$2:$L$301,$A24,'Gäster'!$H$2:$H$301,"Laktosfri"))</f>
        <v/>
      </c>
      <c r="G24" s="17" t="str">
        <f>IF($A24="","",COUNTIFS('Gäster'!$L$2:$L$301,$A24,'Gäster'!$H$2:$H$301,"Nötallergi"))</f>
        <v/>
      </c>
      <c r="H24" s="17" t="str">
        <f>IF($A24="","",COUNTIFS('Gäster'!$L$2:$L$301,$A24,'Gäster'!$H$2:$H$301,"Skaldjursallergi"))</f>
        <v/>
      </c>
      <c r="I24" s="17" t="str">
        <f>IF($A24="","",COUNTIFS('Gäster'!$L$2:$L$301,$A24,'Gäster'!$H$2:$H$301,"Annat"))</f>
        <v/>
      </c>
      <c r="J24" s="17" t="str">
        <f>IF($A24="","",COUNTIFS('Gäster'!$L$2:$L$301,$A24,'Gäster'!$H$2:$H$301,"&lt;&gt;")-(C24+D24+E24+F24+G24+H24+I24))</f>
        <v/>
      </c>
    </row>
    <row r="25" spans="1:10" x14ac:dyDescent="0.25">
      <c r="A25" s="17" t="str">
        <f>IF('Bord'!$A25="","",'Bord'!$A25)</f>
        <v/>
      </c>
      <c r="B25" s="15" t="str">
        <f>IF('Bord'!$A25="","",'Bord'!$B25&amp;"")</f>
        <v/>
      </c>
      <c r="C25" s="17" t="str">
        <f>IF($A25="","",COUNTIFS('Gäster'!$L$2:$L$301,$A25,'Gäster'!$H$2:$H$301,"Vegetarisk"))</f>
        <v/>
      </c>
      <c r="D25" s="17" t="str">
        <f>IF($A25="","",COUNTIFS('Gäster'!$L$2:$L$301,$A25,'Gäster'!$H$2:$H$301,"Vegansk"))</f>
        <v/>
      </c>
      <c r="E25" s="17" t="str">
        <f>IF($A25="","",COUNTIFS('Gäster'!$L$2:$L$301,$A25,'Gäster'!$H$2:$H$301,"Glutenfri"))</f>
        <v/>
      </c>
      <c r="F25" s="17" t="str">
        <f>IF($A25="","",COUNTIFS('Gäster'!$L$2:$L$301,$A25,'Gäster'!$H$2:$H$301,"Laktosfri"))</f>
        <v/>
      </c>
      <c r="G25" s="17" t="str">
        <f>IF($A25="","",COUNTIFS('Gäster'!$L$2:$L$301,$A25,'Gäster'!$H$2:$H$301,"Nötallergi"))</f>
        <v/>
      </c>
      <c r="H25" s="17" t="str">
        <f>IF($A25="","",COUNTIFS('Gäster'!$L$2:$L$301,$A25,'Gäster'!$H$2:$H$301,"Skaldjursallergi"))</f>
        <v/>
      </c>
      <c r="I25" s="17" t="str">
        <f>IF($A25="","",COUNTIFS('Gäster'!$L$2:$L$301,$A25,'Gäster'!$H$2:$H$301,"Annat"))</f>
        <v/>
      </c>
      <c r="J25" s="17" t="str">
        <f>IF($A25="","",COUNTIFS('Gäster'!$L$2:$L$301,$A25,'Gäster'!$H$2:$H$301,"&lt;&gt;")-(C25+D25+E25+F25+G25+H25+I25))</f>
        <v/>
      </c>
    </row>
    <row r="26" spans="1:10" x14ac:dyDescent="0.25">
      <c r="A26" s="17" t="str">
        <f>IF('Bord'!$A26="","",'Bord'!$A26)</f>
        <v/>
      </c>
      <c r="B26" s="15" t="str">
        <f>IF('Bord'!$A26="","",'Bord'!$B26&amp;"")</f>
        <v/>
      </c>
      <c r="C26" s="17" t="str">
        <f>IF($A26="","",COUNTIFS('Gäster'!$L$2:$L$301,$A26,'Gäster'!$H$2:$H$301,"Vegetarisk"))</f>
        <v/>
      </c>
      <c r="D26" s="17" t="str">
        <f>IF($A26="","",COUNTIFS('Gäster'!$L$2:$L$301,$A26,'Gäster'!$H$2:$H$301,"Vegansk"))</f>
        <v/>
      </c>
      <c r="E26" s="17" t="str">
        <f>IF($A26="","",COUNTIFS('Gäster'!$L$2:$L$301,$A26,'Gäster'!$H$2:$H$301,"Glutenfri"))</f>
        <v/>
      </c>
      <c r="F26" s="17" t="str">
        <f>IF($A26="","",COUNTIFS('Gäster'!$L$2:$L$301,$A26,'Gäster'!$H$2:$H$301,"Laktosfri"))</f>
        <v/>
      </c>
      <c r="G26" s="17" t="str">
        <f>IF($A26="","",COUNTIFS('Gäster'!$L$2:$L$301,$A26,'Gäster'!$H$2:$H$301,"Nötallergi"))</f>
        <v/>
      </c>
      <c r="H26" s="17" t="str">
        <f>IF($A26="","",COUNTIFS('Gäster'!$L$2:$L$301,$A26,'Gäster'!$H$2:$H$301,"Skaldjursallergi"))</f>
        <v/>
      </c>
      <c r="I26" s="17" t="str">
        <f>IF($A26="","",COUNTIFS('Gäster'!$L$2:$L$301,$A26,'Gäster'!$H$2:$H$301,"Annat"))</f>
        <v/>
      </c>
      <c r="J26" s="17" t="str">
        <f>IF($A26="","",COUNTIFS('Gäster'!$L$2:$L$301,$A26,'Gäster'!$H$2:$H$301,"&lt;&gt;")-(C26+D26+E26+F26+G26+H26+I26))</f>
        <v/>
      </c>
    </row>
    <row r="27" spans="1:10" x14ac:dyDescent="0.25">
      <c r="A27" s="17" t="str">
        <f>IF('Bord'!$A27="","",'Bord'!$A27)</f>
        <v/>
      </c>
      <c r="B27" s="15" t="str">
        <f>IF('Bord'!$A27="","",'Bord'!$B27&amp;"")</f>
        <v/>
      </c>
      <c r="C27" s="17" t="str">
        <f>IF($A27="","",COUNTIFS('Gäster'!$L$2:$L$301,$A27,'Gäster'!$H$2:$H$301,"Vegetarisk"))</f>
        <v/>
      </c>
      <c r="D27" s="17" t="str">
        <f>IF($A27="","",COUNTIFS('Gäster'!$L$2:$L$301,$A27,'Gäster'!$H$2:$H$301,"Vegansk"))</f>
        <v/>
      </c>
      <c r="E27" s="17" t="str">
        <f>IF($A27="","",COUNTIFS('Gäster'!$L$2:$L$301,$A27,'Gäster'!$H$2:$H$301,"Glutenfri"))</f>
        <v/>
      </c>
      <c r="F27" s="17" t="str">
        <f>IF($A27="","",COUNTIFS('Gäster'!$L$2:$L$301,$A27,'Gäster'!$H$2:$H$301,"Laktosfri"))</f>
        <v/>
      </c>
      <c r="G27" s="17" t="str">
        <f>IF($A27="","",COUNTIFS('Gäster'!$L$2:$L$301,$A27,'Gäster'!$H$2:$H$301,"Nötallergi"))</f>
        <v/>
      </c>
      <c r="H27" s="17" t="str">
        <f>IF($A27="","",COUNTIFS('Gäster'!$L$2:$L$301,$A27,'Gäster'!$H$2:$H$301,"Skaldjursallergi"))</f>
        <v/>
      </c>
      <c r="I27" s="17" t="str">
        <f>IF($A27="","",COUNTIFS('Gäster'!$L$2:$L$301,$A27,'Gäster'!$H$2:$H$301,"Annat"))</f>
        <v/>
      </c>
      <c r="J27" s="17" t="str">
        <f>IF($A27="","",COUNTIFS('Gäster'!$L$2:$L$301,$A27,'Gäster'!$H$2:$H$301,"&lt;&gt;")-(C27+D27+E27+F27+G27+H27+I27))</f>
        <v/>
      </c>
    </row>
    <row r="28" spans="1:10" x14ac:dyDescent="0.25">
      <c r="A28" s="17" t="str">
        <f>IF('Bord'!$A28="","",'Bord'!$A28)</f>
        <v/>
      </c>
      <c r="B28" s="15" t="str">
        <f>IF('Bord'!$A28="","",'Bord'!$B28&amp;"")</f>
        <v/>
      </c>
      <c r="C28" s="17" t="str">
        <f>IF($A28="","",COUNTIFS('Gäster'!$L$2:$L$301,$A28,'Gäster'!$H$2:$H$301,"Vegetarisk"))</f>
        <v/>
      </c>
      <c r="D28" s="17" t="str">
        <f>IF($A28="","",COUNTIFS('Gäster'!$L$2:$L$301,$A28,'Gäster'!$H$2:$H$301,"Vegansk"))</f>
        <v/>
      </c>
      <c r="E28" s="17" t="str">
        <f>IF($A28="","",COUNTIFS('Gäster'!$L$2:$L$301,$A28,'Gäster'!$H$2:$H$301,"Glutenfri"))</f>
        <v/>
      </c>
      <c r="F28" s="17" t="str">
        <f>IF($A28="","",COUNTIFS('Gäster'!$L$2:$L$301,$A28,'Gäster'!$H$2:$H$301,"Laktosfri"))</f>
        <v/>
      </c>
      <c r="G28" s="17" t="str">
        <f>IF($A28="","",COUNTIFS('Gäster'!$L$2:$L$301,$A28,'Gäster'!$H$2:$H$301,"Nötallergi"))</f>
        <v/>
      </c>
      <c r="H28" s="17" t="str">
        <f>IF($A28="","",COUNTIFS('Gäster'!$L$2:$L$301,$A28,'Gäster'!$H$2:$H$301,"Skaldjursallergi"))</f>
        <v/>
      </c>
      <c r="I28" s="17" t="str">
        <f>IF($A28="","",COUNTIFS('Gäster'!$L$2:$L$301,$A28,'Gäster'!$H$2:$H$301,"Annat"))</f>
        <v/>
      </c>
      <c r="J28" s="17" t="str">
        <f>IF($A28="","",COUNTIFS('Gäster'!$L$2:$L$301,$A28,'Gäster'!$H$2:$H$301,"&lt;&gt;")-(C28+D28+E28+F28+G28+H28+I28))</f>
        <v/>
      </c>
    </row>
    <row r="29" spans="1:10" x14ac:dyDescent="0.25">
      <c r="A29" s="17" t="str">
        <f>IF('Bord'!$A29="","",'Bord'!$A29)</f>
        <v/>
      </c>
      <c r="B29" s="15" t="str">
        <f>IF('Bord'!$A29="","",'Bord'!$B29&amp;"")</f>
        <v/>
      </c>
      <c r="C29" s="17" t="str">
        <f>IF($A29="","",COUNTIFS('Gäster'!$L$2:$L$301,$A29,'Gäster'!$H$2:$H$301,"Vegetarisk"))</f>
        <v/>
      </c>
      <c r="D29" s="17" t="str">
        <f>IF($A29="","",COUNTIFS('Gäster'!$L$2:$L$301,$A29,'Gäster'!$H$2:$H$301,"Vegansk"))</f>
        <v/>
      </c>
      <c r="E29" s="17" t="str">
        <f>IF($A29="","",COUNTIFS('Gäster'!$L$2:$L$301,$A29,'Gäster'!$H$2:$H$301,"Glutenfri"))</f>
        <v/>
      </c>
      <c r="F29" s="17" t="str">
        <f>IF($A29="","",COUNTIFS('Gäster'!$L$2:$L$301,$A29,'Gäster'!$H$2:$H$301,"Laktosfri"))</f>
        <v/>
      </c>
      <c r="G29" s="17" t="str">
        <f>IF($A29="","",COUNTIFS('Gäster'!$L$2:$L$301,$A29,'Gäster'!$H$2:$H$301,"Nötallergi"))</f>
        <v/>
      </c>
      <c r="H29" s="17" t="str">
        <f>IF($A29="","",COUNTIFS('Gäster'!$L$2:$L$301,$A29,'Gäster'!$H$2:$H$301,"Skaldjursallergi"))</f>
        <v/>
      </c>
      <c r="I29" s="17" t="str">
        <f>IF($A29="","",COUNTIFS('Gäster'!$L$2:$L$301,$A29,'Gäster'!$H$2:$H$301,"Annat"))</f>
        <v/>
      </c>
      <c r="J29" s="17" t="str">
        <f>IF($A29="","",COUNTIFS('Gäster'!$L$2:$L$301,$A29,'Gäster'!$H$2:$H$301,"&lt;&gt;")-(C29+D29+E29+F29+G29+H29+I29))</f>
        <v/>
      </c>
    </row>
    <row r="30" spans="1:10" x14ac:dyDescent="0.25">
      <c r="A30" s="17" t="str">
        <f>IF('Bord'!$A30="","",'Bord'!$A30)</f>
        <v/>
      </c>
      <c r="B30" s="15" t="str">
        <f>IF('Bord'!$A30="","",'Bord'!$B30&amp;"")</f>
        <v/>
      </c>
      <c r="C30" s="17" t="str">
        <f>IF($A30="","",COUNTIFS('Gäster'!$L$2:$L$301,$A30,'Gäster'!$H$2:$H$301,"Vegetarisk"))</f>
        <v/>
      </c>
      <c r="D30" s="17" t="str">
        <f>IF($A30="","",COUNTIFS('Gäster'!$L$2:$L$301,$A30,'Gäster'!$H$2:$H$301,"Vegansk"))</f>
        <v/>
      </c>
      <c r="E30" s="17" t="str">
        <f>IF($A30="","",COUNTIFS('Gäster'!$L$2:$L$301,$A30,'Gäster'!$H$2:$H$301,"Glutenfri"))</f>
        <v/>
      </c>
      <c r="F30" s="17" t="str">
        <f>IF($A30="","",COUNTIFS('Gäster'!$L$2:$L$301,$A30,'Gäster'!$H$2:$H$301,"Laktosfri"))</f>
        <v/>
      </c>
      <c r="G30" s="17" t="str">
        <f>IF($A30="","",COUNTIFS('Gäster'!$L$2:$L$301,$A30,'Gäster'!$H$2:$H$301,"Nötallergi"))</f>
        <v/>
      </c>
      <c r="H30" s="17" t="str">
        <f>IF($A30="","",COUNTIFS('Gäster'!$L$2:$L$301,$A30,'Gäster'!$H$2:$H$301,"Skaldjursallergi"))</f>
        <v/>
      </c>
      <c r="I30" s="17" t="str">
        <f>IF($A30="","",COUNTIFS('Gäster'!$L$2:$L$301,$A30,'Gäster'!$H$2:$H$301,"Annat"))</f>
        <v/>
      </c>
      <c r="J30" s="17" t="str">
        <f>IF($A30="","",COUNTIFS('Gäster'!$L$2:$L$301,$A30,'Gäster'!$H$2:$H$301,"&lt;&gt;")-(C30+D30+E30+F30+G30+H30+I30))</f>
        <v/>
      </c>
    </row>
    <row r="31" spans="1:10" x14ac:dyDescent="0.25">
      <c r="A31" s="17" t="str">
        <f>IF('Bord'!$A31="","",'Bord'!$A31)</f>
        <v/>
      </c>
      <c r="B31" s="15" t="str">
        <f>IF('Bord'!$A31="","",'Bord'!$B31&amp;"")</f>
        <v/>
      </c>
      <c r="C31" s="17" t="str">
        <f>IF($A31="","",COUNTIFS('Gäster'!$L$2:$L$301,$A31,'Gäster'!$H$2:$H$301,"Vegetarisk"))</f>
        <v/>
      </c>
      <c r="D31" s="17" t="str">
        <f>IF($A31="","",COUNTIFS('Gäster'!$L$2:$L$301,$A31,'Gäster'!$H$2:$H$301,"Vegansk"))</f>
        <v/>
      </c>
      <c r="E31" s="17" t="str">
        <f>IF($A31="","",COUNTIFS('Gäster'!$L$2:$L$301,$A31,'Gäster'!$H$2:$H$301,"Glutenfri"))</f>
        <v/>
      </c>
      <c r="F31" s="17" t="str">
        <f>IF($A31="","",COUNTIFS('Gäster'!$L$2:$L$301,$A31,'Gäster'!$H$2:$H$301,"Laktosfri"))</f>
        <v/>
      </c>
      <c r="G31" s="17" t="str">
        <f>IF($A31="","",COUNTIFS('Gäster'!$L$2:$L$301,$A31,'Gäster'!$H$2:$H$301,"Nötallergi"))</f>
        <v/>
      </c>
      <c r="H31" s="17" t="str">
        <f>IF($A31="","",COUNTIFS('Gäster'!$L$2:$L$301,$A31,'Gäster'!$H$2:$H$301,"Skaldjursallergi"))</f>
        <v/>
      </c>
      <c r="I31" s="17" t="str">
        <f>IF($A31="","",COUNTIFS('Gäster'!$L$2:$L$301,$A31,'Gäster'!$H$2:$H$301,"Annat"))</f>
        <v/>
      </c>
      <c r="J31" s="17" t="str">
        <f>IF($A31="","",COUNTIFS('Gäster'!$L$2:$L$301,$A31,'Gäster'!$H$2:$H$301,"&lt;&gt;")-(C31+D31+E31+F31+G31+H31+I31))</f>
        <v/>
      </c>
    </row>
    <row r="33" spans="1:10" x14ac:dyDescent="0.25">
      <c r="A33" s="20"/>
      <c r="B33" s="18" t="s">
        <v>98</v>
      </c>
      <c r="C33" s="20">
        <f>COUNTIF('Gäster'!$H$2:$H$301,"Vegetarisk")</f>
        <v>1</v>
      </c>
      <c r="D33" s="20">
        <f>COUNTIF('Gäster'!$H$2:$H$301,"Vegansk")</f>
        <v>0</v>
      </c>
      <c r="E33" s="20">
        <f>COUNTIF('Gäster'!$H$2:$H$301,"Glutenfri")</f>
        <v>1</v>
      </c>
      <c r="F33" s="20">
        <f>COUNTIF('Gäster'!$H$2:$H$301,"Laktosfri")</f>
        <v>1</v>
      </c>
      <c r="G33" s="20">
        <f>COUNTIF('Gäster'!$H$2:$H$301,"Nötallergi")</f>
        <v>0</v>
      </c>
      <c r="H33" s="20">
        <f>COUNTIF('Gäster'!$H$2:$H$301,"Skaldjursallergi")</f>
        <v>0</v>
      </c>
      <c r="I33" s="20">
        <f>COUNTIF('Gäster'!$H$2:$H$301,"Annat")</f>
        <v>0</v>
      </c>
      <c r="J33" s="20">
        <f>COUNTIF('Gäster'!$H$2:$H$301,"&lt;&gt;")-(C33+D33+E33+F33+G33+H33+I33)</f>
        <v>0</v>
      </c>
    </row>
    <row r="34" spans="2:2" x14ac:dyDescent="0.25">
      <c r="B34" s="22" t="s">
        <v>99</v>
      </c>
    </row>
  </sheetData>
  <conditionalFormatting sqref="C2:J31">
    <cfRule type="expression" dxfId="2" priority="1">
      <formula>AND($A2&lt;&gt;"",C2&gt;0)</formula>
    </cfRule>
  </conditionalFormatting>
  <pageMargins left="0.5" right="0.5" top="0.6" bottom="0.6"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Så gör du</vt:lpstr>
      <vt:lpstr>Gäster</vt:lpstr>
      <vt:lpstr>Bord</vt:lpstr>
      <vt:lpstr>Bordskarta</vt:lpstr>
      <vt:lpstr>Specialkost</vt:lpstr>
    </vt:vector>
  </TitlesOfParts>
  <Company>bordsplaceringen.se</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bordsplaceringen.se</dc:creator>
  <dc:title>Bordsplacering mall</dc:title>
  <dc:subject>Mall för bordsplacering</dc:subject>
  <dc:description/>
  <cp:keywords/>
  <cp:category/>
  <cp:lastModifiedBy>bordsplaceringen.se</cp:lastModifiedBy>
  <dcterms:created xsi:type="dcterms:W3CDTF">2026-10-05T17:20:34Z</dcterms:created>
  <dcterms:modified xsi:type="dcterms:W3CDTF">2026-10-05T17:20:34Z</dcterms:modified>
</cp:coreProperties>
</file>